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ser\Desktop\Projetos ERP\CONDOR VARRIÇÃO E CAPINA\PLANILHA E DESCITIVO MUDANÇAS 20.12.23\"/>
    </mc:Choice>
  </mc:AlternateContent>
  <xr:revisionPtr revIDLastSave="0" documentId="13_ncr:1_{7CF02182-E4CF-47AB-AB33-C00C64C651F7}" xr6:coauthVersionLast="41" xr6:coauthVersionMax="41" xr10:uidLastSave="{00000000-0000-0000-0000-000000000000}"/>
  <bookViews>
    <workbookView xWindow="-120" yWindow="-120" windowWidth="20730" windowHeight="11160" tabRatio="802" activeTab="1" xr2:uid="{00000000-000D-0000-FFFF-FFFF00000000}"/>
  </bookViews>
  <sheets>
    <sheet name="1. Varrição total" sheetId="1" r:id="rId1"/>
    <sheet name="2. Capina" sheetId="11" r:id="rId2"/>
    <sheet name="3.Encargos Sociais" sheetId="2" r:id="rId3"/>
    <sheet name="4.CAGED" sheetId="3" r:id="rId4"/>
    <sheet name="5.BDI" sheetId="4" r:id="rId5"/>
  </sheets>
  <definedNames>
    <definedName name="AbaDeprec">#REF!</definedName>
    <definedName name="AbaRemun">#REF!</definedName>
    <definedName name="_xlnm.Print_Area" localSheetId="0">'1. Varrição total'!$A$1:$F$108</definedName>
    <definedName name="_xlnm.Print_Area" localSheetId="1">'2. Capina'!$A$1:$F$107</definedName>
    <definedName name="_xlnm.Print_Area" localSheetId="2">'3.Encargos Sociais'!$A$1:$C$34</definedName>
    <definedName name="_xlnm.Print_Titles" localSheetId="0">'1. Varrição total'!$1:$1</definedName>
    <definedName name="_xlnm.Print_Titles" localSheetId="1">'2. Capina'!$1:$1</definedName>
  </definedNames>
  <calcPr calcId="191029"/>
  <extLst>
    <ext uri="smNativeData">
      <pm:revision xmlns:pm="smNativeData" day="1618490794" val="982" rev="124" revOS="4" revMin="124" revMax="0"/>
      <pm:docPrefs xmlns:pm="smNativeData" id="1618490794" fixedDigits="0" showNotice="1" showFrameBounds="1" autoChart="1" recalcOnPrint="1" recalcOnCopy="1" finalRounding="1" compatTextArt="1" tab="567" useDefinedPrintRange="1" printArea="currentSheet"/>
      <pm:compatibility xmlns:pm="smNativeData" id="1618490794" overlapCells="1"/>
      <pm:defCurrency xmlns:pm="smNativeData" id="1618490794"/>
    </ext>
  </extLst>
</workbook>
</file>

<file path=xl/calcChain.xml><?xml version="1.0" encoding="utf-8"?>
<calcChain xmlns="http://schemas.openxmlformats.org/spreadsheetml/2006/main">
  <c r="F109" i="1" l="1"/>
  <c r="E71" i="11" l="1"/>
  <c r="E71" i="1"/>
  <c r="F108" i="1" l="1"/>
  <c r="E89" i="11"/>
  <c r="E82" i="1" l="1"/>
  <c r="E89" i="1"/>
  <c r="E87" i="11" l="1"/>
  <c r="E86" i="11"/>
  <c r="E85" i="11"/>
  <c r="E84" i="11"/>
  <c r="E83" i="11"/>
  <c r="E82" i="11"/>
  <c r="E74" i="11"/>
  <c r="E72" i="11"/>
  <c r="E70" i="11"/>
  <c r="E69" i="11"/>
  <c r="E68" i="11"/>
  <c r="E67" i="11"/>
  <c r="E66" i="11"/>
  <c r="E65" i="11"/>
  <c r="E56" i="11"/>
  <c r="A50" i="11"/>
  <c r="A55" i="11" s="1"/>
  <c r="C45" i="11"/>
  <c r="E38" i="11"/>
  <c r="E32" i="11"/>
  <c r="D45" i="11" s="1"/>
  <c r="E22" i="11"/>
  <c r="A22" i="11"/>
  <c r="A17" i="11"/>
  <c r="A15" i="11"/>
  <c r="A14" i="11"/>
  <c r="A13" i="11"/>
  <c r="A12" i="11"/>
  <c r="A11" i="11"/>
  <c r="A10" i="11"/>
  <c r="A9" i="11"/>
  <c r="A8" i="11"/>
  <c r="A17" i="1"/>
  <c r="D88" i="11" l="1"/>
  <c r="C73" i="11"/>
  <c r="C88" i="11"/>
  <c r="E23" i="11"/>
  <c r="E45" i="11"/>
  <c r="F46" i="11" s="1"/>
  <c r="E10" i="11" s="1"/>
  <c r="D73" i="11"/>
  <c r="D33" i="11"/>
  <c r="E33" i="11" s="1"/>
  <c r="E34" i="11" s="1"/>
  <c r="C50" i="11"/>
  <c r="E50" i="11" s="1"/>
  <c r="F51" i="11" s="1"/>
  <c r="E11" i="11" s="1"/>
  <c r="C55" i="11"/>
  <c r="E55" i="11" s="1"/>
  <c r="F56" i="11" s="1"/>
  <c r="E84" i="1"/>
  <c r="E73" i="11" l="1"/>
  <c r="F74" i="11" s="1"/>
  <c r="F77" i="11" s="1"/>
  <c r="E13" i="11" s="1"/>
  <c r="E88" i="11"/>
  <c r="F89" i="11" s="1"/>
  <c r="F91" i="11" s="1"/>
  <c r="E14" i="11" s="1"/>
  <c r="E12" i="11"/>
  <c r="D35" i="11"/>
  <c r="E83" i="1"/>
  <c r="E85" i="1"/>
  <c r="E86" i="1"/>
  <c r="E87" i="1"/>
  <c r="D88" i="1" l="1"/>
  <c r="E38" i="1" l="1"/>
  <c r="C45" i="1"/>
  <c r="C20" i="3" l="1"/>
  <c r="C12" i="4" l="1"/>
  <c r="C17" i="4" s="1"/>
  <c r="C100" i="11" s="1"/>
  <c r="C22" i="3"/>
  <c r="C15" i="2"/>
  <c r="C12" i="2"/>
  <c r="E74" i="1"/>
  <c r="E72" i="1"/>
  <c r="E70" i="1"/>
  <c r="E69" i="1"/>
  <c r="E68" i="1"/>
  <c r="E67" i="1"/>
  <c r="E66" i="1"/>
  <c r="E65" i="1"/>
  <c r="E56" i="1"/>
  <c r="A50" i="1"/>
  <c r="A55" i="1" s="1"/>
  <c r="E32" i="1"/>
  <c r="D45" i="1" s="1"/>
  <c r="E22" i="1"/>
  <c r="A22" i="1"/>
  <c r="A15" i="1"/>
  <c r="A14" i="1"/>
  <c r="A13" i="1"/>
  <c r="A12" i="1"/>
  <c r="A11" i="1"/>
  <c r="A10" i="1"/>
  <c r="A9" i="1"/>
  <c r="A8" i="1"/>
  <c r="C73" i="1" l="1"/>
  <c r="C88" i="1"/>
  <c r="E88" i="1" s="1"/>
  <c r="F89" i="1" s="1"/>
  <c r="F91" i="1" s="1"/>
  <c r="E14" i="1" s="1"/>
  <c r="C100" i="1"/>
  <c r="C50" i="1"/>
  <c r="E50" i="1" s="1"/>
  <c r="C55" i="1"/>
  <c r="E55" i="1" s="1"/>
  <c r="C23" i="3"/>
  <c r="C26" i="2" s="1"/>
  <c r="C24" i="3"/>
  <c r="C25" i="3" s="1"/>
  <c r="E23" i="1"/>
  <c r="D73" i="1"/>
  <c r="E73" i="1" s="1"/>
  <c r="E45" i="1"/>
  <c r="D33" i="1"/>
  <c r="E33" i="1" s="1"/>
  <c r="F51" i="1" l="1"/>
  <c r="E11" i="1" s="1"/>
  <c r="C25" i="2"/>
  <c r="C30" i="3"/>
  <c r="F56" i="1"/>
  <c r="F74" i="1"/>
  <c r="F77" i="1" s="1"/>
  <c r="C23" i="2"/>
  <c r="C14" i="2" s="1"/>
  <c r="C20" i="2" s="1"/>
  <c r="F46" i="1"/>
  <c r="E10" i="1" s="1"/>
  <c r="E34" i="1"/>
  <c r="E12" i="1" l="1"/>
  <c r="C29" i="2"/>
  <c r="C22" i="2"/>
  <c r="C30" i="2" s="1"/>
  <c r="C31" i="2" s="1"/>
  <c r="E13" i="1"/>
  <c r="D35" i="1"/>
  <c r="C24" i="2" l="1"/>
  <c r="C27" i="2" s="1"/>
  <c r="C32" i="2" s="1"/>
  <c r="C35" i="11" s="1"/>
  <c r="E35" i="11" s="1"/>
  <c r="E36" i="11" s="1"/>
  <c r="D37" i="11" s="1"/>
  <c r="E37" i="11" s="1"/>
  <c r="F38" i="11" s="1"/>
  <c r="F58" i="11" l="1"/>
  <c r="E9" i="11"/>
  <c r="C35" i="1"/>
  <c r="E35" i="1" s="1"/>
  <c r="E36" i="1" s="1"/>
  <c r="D37" i="1" s="1"/>
  <c r="E37" i="1" s="1"/>
  <c r="F38" i="1" s="1"/>
  <c r="F58" i="1" s="1"/>
  <c r="F94" i="1" s="1"/>
  <c r="E8" i="11" l="1"/>
  <c r="F94" i="11"/>
  <c r="E9" i="1"/>
  <c r="D100" i="11" l="1"/>
  <c r="E100" i="11" s="1"/>
  <c r="F101" i="11" s="1"/>
  <c r="F103" i="11" s="1"/>
  <c r="E15" i="11" s="1"/>
  <c r="E16" i="11" s="1"/>
  <c r="F8" i="11" s="1"/>
  <c r="E8" i="1"/>
  <c r="D100" i="1"/>
  <c r="E100" i="1" s="1"/>
  <c r="F101" i="1" s="1"/>
  <c r="F103" i="1" s="1"/>
  <c r="F15" i="11" l="1"/>
  <c r="F14" i="11"/>
  <c r="F12" i="11"/>
  <c r="F13" i="11"/>
  <c r="F11" i="11"/>
  <c r="F10" i="11"/>
  <c r="F9" i="11"/>
  <c r="F106" i="11"/>
  <c r="F108" i="11" s="1"/>
  <c r="E17" i="11" s="1"/>
  <c r="E15" i="1"/>
  <c r="F106" i="1"/>
  <c r="F16" i="11" l="1"/>
  <c r="E16" i="1"/>
  <c r="I114" i="11"/>
  <c r="F14" i="1" l="1"/>
  <c r="F9" i="1"/>
  <c r="F12" i="1"/>
  <c r="F13" i="1"/>
  <c r="F8" i="1"/>
  <c r="F11" i="1"/>
  <c r="F15" i="1"/>
  <c r="F10" i="1"/>
  <c r="E17" i="1"/>
  <c r="F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</author>
  </authors>
  <commentList>
    <comment ref="A6" authorId="0" shapeId="0" xr:uid="{00000000-0006-0000-0000-000001000000}">
      <text>
        <r>
          <rPr>
            <sz val="9"/>
            <rFont val="Tahoma"/>
            <family val="2"/>
          </rPr>
          <t xml:space="preserve">Qualquer custo previsto no edital e não contemplado nesta planilha modelo deverá ser devidamente incluído
</t>
        </r>
      </text>
    </comment>
    <comment ref="B26" authorId="0" shapeId="0" xr:uid="{00000000-0006-0000-0000-000002000000}">
      <text>
        <r>
          <rPr>
            <b/>
            <sz val="9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rFont val="Tahoma"/>
            <family val="2"/>
          </rPr>
          <t xml:space="preserve">
</t>
        </r>
      </text>
    </comment>
    <comment ref="D32" authorId="0" shapeId="0" xr:uid="{00000000-0006-0000-0000-000003000000}">
      <text>
        <r>
          <rPr>
            <sz val="9"/>
            <rFont val="Tahoma"/>
            <family val="2"/>
          </rPr>
          <t>Informar o Piso da categoria fixado na Convenção Coletiva</t>
        </r>
      </text>
    </comment>
    <comment ref="C35" authorId="0" shapeId="0" xr:uid="{00000000-0006-0000-0000-000004000000}">
      <text>
        <r>
          <rPr>
            <sz val="9"/>
            <rFont val="Tahoma"/>
            <family val="2"/>
          </rPr>
          <t xml:space="preserve">Preencher a planilha Encargos Sociais e CAGED </t>
        </r>
      </text>
    </comment>
    <comment ref="C37" authorId="0" shapeId="0" xr:uid="{00000000-0006-0000-0000-000005000000}">
      <text>
        <r>
          <rPr>
            <sz val="9"/>
            <rFont val="Tahoma"/>
            <family val="2"/>
          </rPr>
          <t>Informar a quantidade de trabalhadores na função</t>
        </r>
      </text>
    </comment>
    <comment ref="D43" authorId="0" shapeId="0" xr:uid="{00000000-0006-0000-0000-000013000000}">
      <text>
        <r>
          <rPr>
            <sz val="9"/>
            <rFont val="Tahoma"/>
            <family val="2"/>
          </rPr>
          <t>Informar o valor unitário do VT no município</t>
        </r>
      </text>
    </comment>
    <comment ref="C44" authorId="0" shapeId="0" xr:uid="{00000000-0006-0000-0000-000014000000}">
      <text>
        <r>
          <rPr>
            <sz val="9"/>
            <rFont val="Tahoma"/>
            <family val="2"/>
          </rPr>
          <t>Informar o número médio de dias trabalhados por mês</t>
        </r>
      </text>
    </comment>
    <comment ref="D45" authorId="0" shapeId="0" xr:uid="{00000000-0006-0000-0000-000015000000}">
      <text>
        <r>
          <rPr>
            <sz val="9"/>
            <rFont val="Tahoma"/>
            <family val="2"/>
          </rPr>
          <t>Valor Unitário considerando o desconto legal de até 6% do salário</t>
        </r>
      </text>
    </comment>
    <comment ref="D50" authorId="0" shapeId="0" xr:uid="{00000000-0006-0000-0000-000017000000}">
      <text>
        <r>
          <rPr>
            <sz val="9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55" authorId="0" shapeId="0" xr:uid="{00000000-0006-0000-0000-000019000000}">
      <text>
        <r>
          <rPr>
            <sz val="9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65" authorId="0" shapeId="0" xr:uid="{00000000-0006-0000-0000-00001D000000}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65" authorId="0" shapeId="0" xr:uid="{00000000-0006-0000-0000-00001E000000}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66" authorId="0" shapeId="0" xr:uid="{00000000-0006-0000-0000-00001F000000}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66" authorId="0" shapeId="0" xr:uid="{00000000-0006-0000-0000-000020000000}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67" authorId="0" shapeId="0" xr:uid="{00000000-0006-0000-0000-000021000000}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67" authorId="0" shapeId="0" xr:uid="{00000000-0006-0000-0000-000022000000}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68" authorId="0" shapeId="0" xr:uid="{00000000-0006-0000-0000-000023000000}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68" authorId="0" shapeId="0" xr:uid="{00000000-0006-0000-0000-000024000000}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69" authorId="0" shapeId="0" xr:uid="{00000000-0006-0000-0000-000025000000}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69" authorId="0" shapeId="0" xr:uid="{00000000-0006-0000-0000-000026000000}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70" authorId="0" shapeId="0" xr:uid="{00000000-0006-0000-0000-000027000000}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70" authorId="0" shapeId="0" xr:uid="{00000000-0006-0000-0000-000028000000}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72" authorId="0" shapeId="0" xr:uid="{00000000-0006-0000-0000-000029000000}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72" authorId="0" shapeId="0" xr:uid="{00000000-0006-0000-0000-00002A000000}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83" authorId="0" shapeId="0" xr:uid="{00000000-0006-0000-0000-000049000000}">
      <text>
        <r>
          <rPr>
            <sz val="9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83" authorId="0" shapeId="0" xr:uid="{00000000-0006-0000-0000-00004A000000}">
      <text>
        <r>
          <rPr>
            <sz val="9"/>
            <rFont val="Tahoma"/>
            <family val="2"/>
          </rPr>
          <t>Informar o valor unitário estimado para aquisição de cada material</t>
        </r>
      </text>
    </comment>
    <comment ref="C85" authorId="0" shapeId="0" xr:uid="{00000000-0006-0000-0000-00004B000000}">
      <text>
        <r>
          <rPr>
            <sz val="9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85" authorId="0" shapeId="0" xr:uid="{00000000-0006-0000-0000-00004C000000}">
      <text>
        <r>
          <rPr>
            <sz val="9"/>
            <rFont val="Tahoma"/>
            <family val="2"/>
          </rPr>
          <t>Informar o valor unitário estimado para aquisição de cada material</t>
        </r>
      </text>
    </comment>
    <comment ref="C87" authorId="0" shapeId="0" xr:uid="{00000000-0006-0000-0000-00004D000000}">
      <text>
        <r>
          <rPr>
            <sz val="9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87" authorId="0" shapeId="0" xr:uid="{00000000-0006-0000-0000-00004E000000}">
      <text>
        <r>
          <rPr>
            <sz val="9"/>
            <rFont val="Tahoma"/>
            <family val="2"/>
          </rPr>
          <t>Informar o valor unitário estimado para aquisição de cada material</t>
        </r>
      </text>
    </comment>
    <comment ref="C100" authorId="0" shapeId="0" xr:uid="{00000000-0006-0000-0000-000052000000}">
      <text>
        <r>
          <rPr>
            <sz val="9"/>
            <rFont val="Tahoma"/>
            <family val="2"/>
          </rPr>
          <t>Preencher a aba 4.BDI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</author>
  </authors>
  <commentList>
    <comment ref="A6" authorId="0" shapeId="0" xr:uid="{DC957959-1DE4-4C96-ABC5-979F036C051A}">
      <text>
        <r>
          <rPr>
            <sz val="9"/>
            <rFont val="Tahoma"/>
            <family val="2"/>
          </rPr>
          <t xml:space="preserve">Qualquer custo previsto no edital e não contemplado nesta planilha modelo deverá ser devidamente incluído
</t>
        </r>
      </text>
    </comment>
    <comment ref="B26" authorId="0" shapeId="0" xr:uid="{4671CD50-9563-431C-AE50-43DD8BF0A457}">
      <text>
        <r>
          <rPr>
            <b/>
            <sz val="9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rFont val="Tahoma"/>
            <family val="2"/>
          </rPr>
          <t xml:space="preserve">
</t>
        </r>
      </text>
    </comment>
    <comment ref="D32" authorId="0" shapeId="0" xr:uid="{5B0F54C2-2D4B-4178-A1B0-C554740A94E9}">
      <text>
        <r>
          <rPr>
            <sz val="9"/>
            <rFont val="Tahoma"/>
            <family val="2"/>
          </rPr>
          <t>Informar o Piso da categoria fixado na Convenção Coletiva</t>
        </r>
      </text>
    </comment>
    <comment ref="C35" authorId="0" shapeId="0" xr:uid="{7BB77BE3-7809-45D4-AD79-F52CD7DA7549}">
      <text>
        <r>
          <rPr>
            <sz val="9"/>
            <rFont val="Tahoma"/>
            <family val="2"/>
          </rPr>
          <t xml:space="preserve">Preencher a planilha Encargos Sociais e CAGED </t>
        </r>
      </text>
    </comment>
    <comment ref="C37" authorId="0" shapeId="0" xr:uid="{DED2867C-B913-4AD4-ACFC-AD3DE3692393}">
      <text>
        <r>
          <rPr>
            <sz val="9"/>
            <rFont val="Tahoma"/>
            <family val="2"/>
          </rPr>
          <t>Informar a quantidade de trabalhadores na função</t>
        </r>
      </text>
    </comment>
    <comment ref="D43" authorId="0" shapeId="0" xr:uid="{7723A347-9968-48A4-8EE4-D86663A528F7}">
      <text>
        <r>
          <rPr>
            <sz val="9"/>
            <rFont val="Tahoma"/>
            <family val="2"/>
          </rPr>
          <t>Informar o valor unitário do VT no município</t>
        </r>
      </text>
    </comment>
    <comment ref="C44" authorId="0" shapeId="0" xr:uid="{B7121188-4F92-4502-AA24-EF83C7E955D6}">
      <text>
        <r>
          <rPr>
            <sz val="9"/>
            <rFont val="Tahoma"/>
            <family val="2"/>
          </rPr>
          <t>Informar o número médio de dias trabalhados por mês</t>
        </r>
      </text>
    </comment>
    <comment ref="D45" authorId="0" shapeId="0" xr:uid="{94C8E81E-53EC-4B04-B5CF-A6F5AD70756A}">
      <text>
        <r>
          <rPr>
            <sz val="9"/>
            <rFont val="Tahoma"/>
            <family val="2"/>
          </rPr>
          <t>Valor Unitário considerando o desconto legal de até 6% do salário</t>
        </r>
      </text>
    </comment>
    <comment ref="D50" authorId="0" shapeId="0" xr:uid="{E6ED9889-1495-45F0-94FE-FF63E0080692}">
      <text>
        <r>
          <rPr>
            <sz val="9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55" authorId="0" shapeId="0" xr:uid="{F951F010-69A9-4BDF-A070-09AF5E32D63C}">
      <text>
        <r>
          <rPr>
            <sz val="9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65" authorId="0" shapeId="0" xr:uid="{8E0572BA-4EE2-44A8-B252-05CDFF9C7973}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65" authorId="0" shapeId="0" xr:uid="{C8F6B22A-B493-4D26-A561-4E5D83C5BA4A}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66" authorId="0" shapeId="0" xr:uid="{D91FD0D8-5993-4A1B-81AE-C2394BE99B29}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66" authorId="0" shapeId="0" xr:uid="{90B197D4-2457-4B3C-9787-5ACC5C0B634C}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67" authorId="0" shapeId="0" xr:uid="{AF022379-3955-4B6A-81E5-177FAB123EFE}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67" authorId="0" shapeId="0" xr:uid="{CEB8BD7D-9E33-49C7-87B3-82AD1237055D}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68" authorId="0" shapeId="0" xr:uid="{19CC8835-3F39-4715-893C-7A81A8864091}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68" authorId="0" shapeId="0" xr:uid="{E15FCDEB-BBF6-4E14-8502-73EF2D25CCA2}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69" authorId="0" shapeId="0" xr:uid="{78FFE75A-C5EA-4CC6-8FE1-D4D45B4B6A63}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69" authorId="0" shapeId="0" xr:uid="{6F049516-59FA-412B-9C2B-AAE4A1C352F0}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70" authorId="0" shapeId="0" xr:uid="{DAF7349B-A2B6-4A46-BF6B-5FD54DE04AD6}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70" authorId="0" shapeId="0" xr:uid="{5A5100CE-7D22-4049-92FE-4C8B5A279163}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72" authorId="0" shapeId="0" xr:uid="{C03335D9-A1B9-4108-A3DD-70435FB9551E}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72" authorId="0" shapeId="0" xr:uid="{3B0E59C1-7DDF-4FE2-9148-0A3D3458D8D6}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82" authorId="0" shapeId="0" xr:uid="{270F77B2-B718-4AB2-9506-CE60CBB12E57}">
      <text>
        <r>
          <rPr>
            <sz val="9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82" authorId="0" shapeId="0" xr:uid="{A0D75986-F1D7-4DF9-9648-03FE0438E407}">
      <text>
        <r>
          <rPr>
            <sz val="9"/>
            <rFont val="Tahoma"/>
            <family val="2"/>
          </rPr>
          <t>Informar o valor unitário estimado para aquisição de cada material</t>
        </r>
      </text>
    </comment>
    <comment ref="C84" authorId="0" shapeId="0" xr:uid="{D7ED08F8-489D-49E3-B5FE-9369A8CE2A9C}">
      <text>
        <r>
          <rPr>
            <sz val="9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84" authorId="0" shapeId="0" xr:uid="{86187DBD-CB77-44E4-B060-B27811E17EFA}">
      <text>
        <r>
          <rPr>
            <sz val="9"/>
            <rFont val="Tahoma"/>
            <family val="2"/>
          </rPr>
          <t>Informar o valor unitário estimado para aquisição de cada material</t>
        </r>
      </text>
    </comment>
    <comment ref="C100" authorId="0" shapeId="0" xr:uid="{61351B5B-0A25-4301-A7DE-D669FCD75212}">
      <text>
        <r>
          <rPr>
            <sz val="9"/>
            <rFont val="Tahoma"/>
            <family val="2"/>
          </rPr>
          <t>Preencher a aba 4.BDI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</author>
  </authors>
  <commentList>
    <comment ref="C10" authorId="0" shapeId="0" xr:uid="{00000000-0006-0000-0300-000001000000}">
      <text>
        <r>
          <rPr>
            <b/>
            <sz val="9"/>
            <rFont val="Tahoma"/>
            <family val="2"/>
          </rPr>
          <t>Informar o % de Administração Central estimado</t>
        </r>
        <r>
          <rPr>
            <sz val="9"/>
            <rFont val="Tahoma"/>
            <family val="2"/>
          </rPr>
          <t xml:space="preserve">
</t>
        </r>
      </text>
    </comment>
    <comment ref="C11" authorId="0" shapeId="0" xr:uid="{00000000-0006-0000-0300-000003000000}">
      <text>
        <r>
          <rPr>
            <b/>
            <sz val="9"/>
            <rFont val="Tahoma"/>
            <family val="2"/>
          </rPr>
          <t>Informar o % de Lucro estimado</t>
        </r>
        <r>
          <rPr>
            <sz val="9"/>
            <rFont val="Tahoma"/>
            <family val="2"/>
          </rPr>
          <t xml:space="preserve">
</t>
        </r>
      </text>
    </comment>
    <comment ref="E12" authorId="0" shapeId="0" xr:uid="{00000000-0006-0000-0300-000004000000}">
      <text>
        <r>
          <rPr>
            <b/>
            <sz val="9"/>
            <rFont val="Tahoma"/>
            <family val="2"/>
          </rPr>
          <t>Informar o valor anual da taxa financeira, em percentual. Admite-se utilizar a SELIC</t>
        </r>
      </text>
    </comment>
    <comment ref="C13" authorId="0" shapeId="0" xr:uid="{00000000-0006-0000-0300-000005000000}">
      <text>
        <r>
          <rPr>
            <b/>
            <sz val="9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rFont val="Tahoma"/>
            <family val="2"/>
          </rPr>
          <t xml:space="preserve">
</t>
        </r>
      </text>
    </comment>
    <comment ref="E13" authorId="0" shapeId="0" xr:uid="{00000000-0006-0000-0300-000006000000}">
      <text>
        <r>
          <rPr>
            <b/>
            <sz val="9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rFont val="Tahoma"/>
            <family val="2"/>
          </rPr>
          <t xml:space="preserve">
</t>
        </r>
      </text>
    </comment>
    <comment ref="C14" authorId="0" shapeId="0" xr:uid="{00000000-0006-0000-0300-000007000000}">
      <text>
        <r>
          <rPr>
            <b/>
            <sz val="9"/>
            <rFont val="Tahoma"/>
            <family val="2"/>
          </rPr>
          <t xml:space="preserve">Informar o valor estimado de PIS/COFINS. </t>
        </r>
        <r>
          <rPr>
            <sz val="9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sharedStrings.xml><?xml version="1.0" encoding="utf-8"?>
<sst xmlns="http://schemas.openxmlformats.org/spreadsheetml/2006/main" count="363" uniqueCount="183">
  <si>
    <t>Orientações para preenchimento:</t>
  </si>
  <si>
    <t>Planilha de Composição de Custos</t>
  </si>
  <si>
    <t>Orçamento Sintético</t>
  </si>
  <si>
    <t>Descrição do Item</t>
  </si>
  <si>
    <t>Custo (R$/mês)</t>
  </si>
  <si>
    <t>%</t>
  </si>
  <si>
    <t>Quantitativos</t>
  </si>
  <si>
    <t>Mão-de-obra</t>
  </si>
  <si>
    <t>Quantidade</t>
  </si>
  <si>
    <t>Total de mão-de-obra (postos de trabalho)</t>
  </si>
  <si>
    <t>Fator de utilização (FU)</t>
  </si>
  <si>
    <t>1. Mão-de-obra</t>
  </si>
  <si>
    <t>Discriminação</t>
  </si>
  <si>
    <t>Unidade</t>
  </si>
  <si>
    <t>Custo unitário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</si>
  <si>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</si>
  <si>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</si>
  <si>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Piso da categoria</t>
  </si>
  <si>
    <t>mês</t>
  </si>
  <si>
    <t>R$</t>
  </si>
  <si>
    <t>Adicional de Insalubridade</t>
  </si>
  <si>
    <t>Soma</t>
  </si>
  <si>
    <t>Encargos Sociais</t>
  </si>
  <si>
    <t>Total do Efetivo</t>
  </si>
  <si>
    <t>homem</t>
  </si>
  <si>
    <t>Fator de utilização</t>
  </si>
  <si>
    <t>Vale Transporte</t>
  </si>
  <si>
    <t>Dias Trabalhados por mês</t>
  </si>
  <si>
    <t>dia</t>
  </si>
  <si>
    <t>vale</t>
  </si>
  <si>
    <t>unidade</t>
  </si>
  <si>
    <t>Custo Mensal com Mão-de-obra (R$/mês)</t>
  </si>
  <si>
    <t>2. Uniformes e Equipamentos de Proteção Individual</t>
  </si>
  <si>
    <t>Durabilidade (meses)</t>
  </si>
  <si>
    <t>Calça</t>
  </si>
  <si>
    <t>Camiseta</t>
  </si>
  <si>
    <t>Botina de segurança c/ palmilha aço</t>
  </si>
  <si>
    <t>par</t>
  </si>
  <si>
    <t>Meia de algodão com cano alto</t>
  </si>
  <si>
    <t>Colete reflexivo</t>
  </si>
  <si>
    <t>Luva de proteção</t>
  </si>
  <si>
    <t>Protetor solar FPS 30</t>
  </si>
  <si>
    <t>frasco 120g</t>
  </si>
  <si>
    <t>Custo Mensal com Uniformes e EPIs (R$/mês)</t>
  </si>
  <si>
    <t>Recipiente térmico para água (5L)</t>
  </si>
  <si>
    <t>Vassoura</t>
  </si>
  <si>
    <t>Custo Mensal com Ferramentas e Materiais de Consumo (R$/mês)</t>
  </si>
  <si>
    <t>CUSTO TOTAL MENSAL COM DESPESAS OPERACIONAIS (R$/mês)</t>
  </si>
  <si>
    <t>Benefícios e despesas indiretas</t>
  </si>
  <si>
    <t>CUSTO MENSAL COM BDI (R$/mês)</t>
  </si>
  <si>
    <t>PREÇO MENSAL TOTAL (R$/mês)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</si>
  <si>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</si>
  <si>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</si>
  <si>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</si>
  <si>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</si>
  <si>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</si>
  <si>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</si>
  <si>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</si>
  <si>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</si>
  <si>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</si>
  <si>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</si>
  <si>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</si>
  <si>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</si>
  <si>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</si>
  <si>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</si>
  <si>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</si>
  <si>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</si>
  <si>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</si>
  <si>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</si>
  <si>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</si>
  <si>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</si>
  <si>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</si>
  <si>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</si>
  <si>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</si>
  <si>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</si>
  <si>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</si>
  <si>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</si>
  <si>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</si>
  <si>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</si>
  <si>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</si>
  <si>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</si>
  <si>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</si>
  <si>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</si>
  <si>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</si>
  <si>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</si>
  <si>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</si>
  <si>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</si>
  <si>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</si>
  <si>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</si>
  <si>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</si>
  <si>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</si>
  <si>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</si>
  <si>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</si>
  <si>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</si>
  <si>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</si>
  <si>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</si>
  <si>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</si>
  <si>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</si>
  <si>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</si>
  <si>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</si>
  <si>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</si>
  <si>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</si>
  <si>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</si>
  <si>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</si>
  <si>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</si>
  <si>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</si>
  <si>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CÁLCULO DAS VERBAS INDENIZATÓRIAS DOS EMPREGADOS NO SETOR DE COLETA DE RSU</t>
  </si>
  <si>
    <t>3. CAGED</t>
  </si>
  <si>
    <t>Rio Grande do Sul  - Coleta de Resíduos Não-Perigosos - CNAE 38114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</si>
  <si>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</si>
  <si>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</si>
  <si>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</si>
  <si>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</si>
  <si>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</si>
  <si>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</si>
  <si>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</si>
  <si>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</si>
  <si>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</si>
  <si>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</si>
  <si>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</si>
  <si>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 xml:space="preserve"> </t>
  </si>
  <si>
    <t>Indicadores</t>
  </si>
  <si>
    <t>Estoque recuperado final do Período 31-12-2019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</si>
  <si>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</si>
  <si>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</si>
  <si>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</si>
  <si>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</si>
  <si>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</si>
  <si>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</si>
  <si>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</si>
  <si>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</si>
  <si>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</si>
  <si>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1. Esta planilha é somente um modelo-base e deve ser ajustada conforme cada caso concreto.</t>
  </si>
  <si>
    <t>2. Preencher somente células em amarelo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</si>
  <si>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</si>
  <si>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</si>
  <si>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</si>
  <si>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</si>
  <si>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</si>
  <si>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</si>
  <si>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</si>
  <si>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</si>
  <si>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</si>
  <si>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</si>
  <si>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</si>
  <si>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</si>
  <si>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</si>
  <si>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</si>
  <si>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</si>
  <si>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</si>
  <si>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</si>
  <si>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Resultado do cálculo do BDI:</t>
  </si>
  <si>
    <t>Estoque recuperado início do Período 01-01-2019</t>
  </si>
  <si>
    <t>Variação Emprego Absoluta de 01-01-2019 a 31-12-2019</t>
  </si>
  <si>
    <t>Tendo em vista que o CAGED foi descontinuado em janeiro de 2020, esta planilha foi atualizada 
até 31/12/2019.</t>
  </si>
  <si>
    <t>1.1. Varredor Turno Dia</t>
  </si>
  <si>
    <r>
      <t xml:space="preserve">Total por </t>
    </r>
    <r>
      <rPr>
        <sz val="10"/>
        <color rgb="FF000000"/>
        <rFont val="Arial"/>
        <family val="2"/>
      </rPr>
      <t>Varredor</t>
    </r>
  </si>
  <si>
    <t>Varredor</t>
  </si>
  <si>
    <t>2.1. Uniformes e EPIs para Varredor</t>
  </si>
  <si>
    <t>1.2. Vale Transporte</t>
  </si>
  <si>
    <t>1.3. Vale-refeição (diário)</t>
  </si>
  <si>
    <t>1.4. Auxílio Alimentação (mensal)</t>
  </si>
  <si>
    <t>3. Ferramentas e Materiais de Consumo</t>
  </si>
  <si>
    <t>Rastel</t>
  </si>
  <si>
    <t>pacote</t>
  </si>
  <si>
    <t>4. Benefícios e Despesas Indiretas - BDI</t>
  </si>
  <si>
    <t>PREÇO TOTAL MENSAL DA VARRIÇÃO DIÁRIA</t>
  </si>
  <si>
    <t>Pá de varrição</t>
  </si>
  <si>
    <t>{[(1+AC) x (1+L) x (1+DF)] / (1-T)} -1</t>
  </si>
  <si>
    <t>PREÇO UNITÁRIO POR METRO VARRIDO (R$/m)</t>
  </si>
  <si>
    <t>Extensão a varrer diariamente (m)</t>
  </si>
  <si>
    <t>Enxada</t>
  </si>
  <si>
    <t>1.1. Capinador Turno Dia</t>
  </si>
  <si>
    <t>Capinador</t>
  </si>
  <si>
    <t>Extensão a varrer Mensalmente (m/mês)</t>
  </si>
  <si>
    <r>
      <t xml:space="preserve">Extensão TOTAL a varrer diariamente (m/dia)
</t>
    </r>
    <r>
      <rPr>
        <sz val="10"/>
        <color rgb="FF000000"/>
        <rFont val="Arial"/>
        <family val="2"/>
      </rPr>
      <t>Fórmula: [Extensão a varrer diariamente + (extensão a varrer a cada 2dias / 2)]</t>
    </r>
  </si>
  <si>
    <t>Carrinho Contentor de Lixo para varrição</t>
  </si>
  <si>
    <t>Sacos plásticos 100L (100 unidades)</t>
  </si>
  <si>
    <t>Sacos plásticos 100l (100 unidades)</t>
  </si>
  <si>
    <t>Oculos de proteção</t>
  </si>
  <si>
    <t>Multa FGTS (Ajustado, de acordo com a nova Lei Federal nº 13.932/2019)</t>
  </si>
  <si>
    <t>Varrição diária</t>
  </si>
  <si>
    <t>Capina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</si>
</sst>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&quot;R$ &quot;#,##0.00"/>
    <numFmt numFmtId="168" formatCode="0.0000"/>
    <numFmt numFmtId="169" formatCode="_(* #,##0.000_);_(* \(#,##0.000\);_(* &quot;-&quot;??.000_);_(@_)"/>
    <numFmt numFmtId="172" formatCode="0.000000"/>
    <numFmt numFmtId="174" formatCode="&quot;R$&quot;\ #,##0.0000"/>
    <numFmt numFmtId="176" formatCode="_(* #,##0.0000_);_(* \(#,##0.0000\);_(* &quot;-&quot;??_);_(@_)"/>
  </numFmts>
  <fonts count="18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0"/>
      <color rgb="FF0000FF"/>
      <name val="Arial"/>
      <family val="2"/>
    </font>
    <font>
      <sz val="10"/>
      <color rgb="FFFF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3"/>
      <color rgb="FF000000"/>
      <name val="Arial"/>
      <family val="2"/>
    </font>
    <font>
      <sz val="10"/>
      <color rgb="FF000000"/>
      <name val="Arial"/>
      <family val="2"/>
    </font>
    <font>
      <b/>
      <u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</fonts>
  <fills count="44">
    <fill>
      <patternFill patternType="none"/>
    </fill>
    <fill>
      <patternFill patternType="gray125"/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5D9F1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DDD9C4"/>
        <bgColor rgb="FFFFFFFF"/>
      </patternFill>
    </fill>
  </fills>
  <borders count="9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279">
    <xf numFmtId="0" fontId="0" fillId="0" borderId="0" xfId="0"/>
    <xf numFmtId="165" fontId="0" fillId="0" borderId="0" xfId="3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65" fontId="0" fillId="0" borderId="2" xfId="3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1" xfId="3" applyFont="1" applyBorder="1" applyAlignment="1">
      <alignment horizontal="center" vertical="center"/>
    </xf>
    <xf numFmtId="165" fontId="0" fillId="0" borderId="0" xfId="3" applyFont="1" applyAlignment="1">
      <alignment horizontal="center" vertical="center"/>
    </xf>
    <xf numFmtId="165" fontId="1" fillId="2" borderId="3" xfId="3" applyFont="1" applyFill="1" applyBorder="1" applyAlignment="1">
      <alignment horizontal="center" vertical="center"/>
    </xf>
    <xf numFmtId="165" fontId="1" fillId="2" borderId="3" xfId="3" applyFont="1" applyFill="1" applyBorder="1" applyAlignment="1">
      <alignment vertical="center"/>
    </xf>
    <xf numFmtId="165" fontId="1" fillId="0" borderId="0" xfId="3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5" fontId="1" fillId="0" borderId="5" xfId="3" applyFont="1" applyBorder="1" applyAlignment="1">
      <alignment vertical="center"/>
    </xf>
    <xf numFmtId="165" fontId="1" fillId="0" borderId="6" xfId="3" applyFont="1" applyBorder="1" applyAlignment="1">
      <alignment vertical="center"/>
    </xf>
    <xf numFmtId="0" fontId="0" fillId="0" borderId="5" xfId="0" applyBorder="1" applyAlignment="1">
      <alignment vertical="center"/>
    </xf>
    <xf numFmtId="165" fontId="0" fillId="0" borderId="5" xfId="3" applyFont="1" applyBorder="1" applyAlignment="1">
      <alignment vertical="center"/>
    </xf>
    <xf numFmtId="165" fontId="0" fillId="0" borderId="6" xfId="3" applyFont="1" applyBorder="1" applyAlignment="1">
      <alignment vertical="center"/>
    </xf>
    <xf numFmtId="165" fontId="1" fillId="0" borderId="0" xfId="3" applyFont="1" applyAlignment="1">
      <alignment horizontal="center" vertical="center"/>
    </xf>
    <xf numFmtId="165" fontId="3" fillId="0" borderId="0" xfId="3" applyFont="1" applyAlignment="1">
      <alignment vertical="center"/>
    </xf>
    <xf numFmtId="166" fontId="0" fillId="0" borderId="1" xfId="3" applyNumberFormat="1" applyFont="1" applyBorder="1" applyAlignment="1">
      <alignment vertical="center"/>
    </xf>
    <xf numFmtId="165" fontId="2" fillId="0" borderId="0" xfId="3" applyFont="1" applyAlignment="1">
      <alignment vertical="center"/>
    </xf>
    <xf numFmtId="165" fontId="0" fillId="0" borderId="7" xfId="3" applyFont="1" applyBorder="1" applyAlignment="1">
      <alignment vertical="center"/>
    </xf>
    <xf numFmtId="165" fontId="1" fillId="0" borderId="8" xfId="3" applyFont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165" fontId="0" fillId="0" borderId="9" xfId="3" applyFont="1" applyBorder="1" applyAlignment="1">
      <alignment vertical="center"/>
    </xf>
    <xf numFmtId="165" fontId="1" fillId="0" borderId="10" xfId="3" applyFont="1" applyBorder="1" applyAlignment="1">
      <alignment horizontal="right" vertical="center"/>
    </xf>
    <xf numFmtId="165" fontId="0" fillId="0" borderId="11" xfId="3" applyFont="1" applyBorder="1" applyAlignment="1">
      <alignment vertical="center"/>
    </xf>
    <xf numFmtId="165" fontId="0" fillId="0" borderId="1" xfId="3" applyFont="1" applyBorder="1" applyAlignment="1">
      <alignment vertical="center"/>
    </xf>
    <xf numFmtId="0" fontId="2" fillId="0" borderId="0" xfId="0" applyFont="1" applyAlignment="1">
      <alignment vertical="center"/>
    </xf>
    <xf numFmtId="10" fontId="0" fillId="0" borderId="12" xfId="2" applyNumberFormat="1" applyFont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165" fontId="7" fillId="4" borderId="14" xfId="3" applyFont="1" applyFill="1" applyBorder="1" applyAlignment="1">
      <alignment horizontal="center" vertical="center"/>
    </xf>
    <xf numFmtId="165" fontId="7" fillId="5" borderId="15" xfId="3" applyFont="1" applyFill="1" applyBorder="1" applyAlignment="1">
      <alignment horizontal="center" vertical="center"/>
    </xf>
    <xf numFmtId="165" fontId="1" fillId="0" borderId="16" xfId="3" applyFont="1" applyBorder="1" applyAlignment="1">
      <alignment horizontal="center" vertical="center"/>
    </xf>
    <xf numFmtId="166" fontId="0" fillId="0" borderId="0" xfId="3" applyNumberFormat="1" applyFont="1" applyAlignment="1">
      <alignment horizontal="center" vertical="center"/>
    </xf>
    <xf numFmtId="165" fontId="1" fillId="0" borderId="18" xfId="3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165" fontId="0" fillId="0" borderId="16" xfId="3" applyFont="1" applyBorder="1" applyAlignment="1">
      <alignment vertical="center"/>
    </xf>
    <xf numFmtId="0" fontId="0" fillId="0" borderId="7" xfId="0" applyBorder="1" applyAlignment="1">
      <alignment vertical="center"/>
    </xf>
    <xf numFmtId="1" fontId="0" fillId="0" borderId="8" xfId="3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" fontId="1" fillId="0" borderId="20" xfId="3" applyNumberFormat="1" applyFont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165" fontId="0" fillId="7" borderId="22" xfId="3" applyFont="1" applyFill="1" applyBorder="1" applyAlignment="1">
      <alignment horizontal="center" vertical="center"/>
    </xf>
    <xf numFmtId="165" fontId="0" fillId="6" borderId="21" xfId="3" applyFont="1" applyFill="1" applyBorder="1" applyAlignment="1">
      <alignment horizontal="center" vertical="center"/>
    </xf>
    <xf numFmtId="0" fontId="0" fillId="8" borderId="23" xfId="0" applyFill="1" applyBorder="1" applyAlignment="1">
      <alignment vertical="center"/>
    </xf>
    <xf numFmtId="165" fontId="0" fillId="8" borderId="23" xfId="3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66" fontId="0" fillId="0" borderId="1" xfId="3" applyNumberFormat="1" applyFont="1" applyBorder="1" applyAlignment="1">
      <alignment horizontal="center" vertical="center"/>
    </xf>
    <xf numFmtId="13" fontId="0" fillId="6" borderId="21" xfId="0" applyNumberFormat="1" applyFill="1" applyBorder="1" applyAlignment="1">
      <alignment horizontal="center" vertical="center"/>
    </xf>
    <xf numFmtId="0" fontId="5" fillId="0" borderId="0" xfId="1" applyAlignment="1" applyProtection="1">
      <alignment vertical="center"/>
    </xf>
    <xf numFmtId="0" fontId="1" fillId="0" borderId="0" xfId="0" applyFont="1"/>
    <xf numFmtId="165" fontId="1" fillId="0" borderId="24" xfId="3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5" fontId="1" fillId="0" borderId="25" xfId="3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3" applyFont="1" applyAlignment="1">
      <alignment horizontal="right" vertical="center"/>
    </xf>
    <xf numFmtId="165" fontId="1" fillId="9" borderId="26" xfId="3" applyFont="1" applyFill="1" applyBorder="1" applyAlignment="1">
      <alignment horizontal="center" vertical="center"/>
    </xf>
    <xf numFmtId="165" fontId="1" fillId="0" borderId="11" xfId="3" applyFont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165" fontId="1" fillId="0" borderId="9" xfId="3" applyFont="1" applyBorder="1" applyAlignment="1">
      <alignment vertical="center"/>
    </xf>
    <xf numFmtId="10" fontId="1" fillId="0" borderId="12" xfId="2" applyNumberFormat="1" applyFont="1" applyBorder="1" applyAlignment="1">
      <alignment vertical="center"/>
    </xf>
    <xf numFmtId="165" fontId="1" fillId="0" borderId="27" xfId="3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5" fontId="0" fillId="0" borderId="28" xfId="3" applyFont="1" applyBorder="1" applyAlignment="1">
      <alignment vertical="center"/>
    </xf>
    <xf numFmtId="165" fontId="1" fillId="0" borderId="11" xfId="3" applyFont="1" applyBorder="1" applyAlignment="1">
      <alignment horizontal="left" vertical="center"/>
    </xf>
    <xf numFmtId="4" fontId="1" fillId="0" borderId="9" xfId="0" applyNumberFormat="1" applyFont="1" applyBorder="1" applyAlignment="1">
      <alignment horizontal="centerContinuous" vertical="center"/>
    </xf>
    <xf numFmtId="165" fontId="0" fillId="10" borderId="30" xfId="3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4" fillId="0" borderId="11" xfId="0" applyFont="1" applyBorder="1"/>
    <xf numFmtId="0" fontId="4" fillId="0" borderId="31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17" xfId="0" applyFont="1" applyBorder="1"/>
    <xf numFmtId="0" fontId="3" fillId="0" borderId="3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0" fontId="3" fillId="0" borderId="17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10" fontId="4" fillId="0" borderId="17" xfId="0" applyNumberFormat="1" applyFont="1" applyBorder="1" applyAlignment="1">
      <alignment horizontal="right" vertical="center"/>
    </xf>
    <xf numFmtId="0" fontId="3" fillId="12" borderId="36" xfId="0" applyFont="1" applyFill="1" applyBorder="1" applyAlignment="1">
      <alignment horizontal="left" vertical="center"/>
    </xf>
    <xf numFmtId="0" fontId="4" fillId="13" borderId="37" xfId="0" applyFont="1" applyFill="1" applyBorder="1" applyAlignment="1">
      <alignment horizontal="left" vertical="center"/>
    </xf>
    <xf numFmtId="10" fontId="4" fillId="14" borderId="38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0" fontId="0" fillId="0" borderId="0" xfId="0" applyNumberFormat="1"/>
    <xf numFmtId="9" fontId="3" fillId="0" borderId="0" xfId="2" applyFont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15" borderId="39" xfId="0" applyFont="1" applyFill="1" applyBorder="1" applyAlignment="1">
      <alignment horizontal="left" vertical="center"/>
    </xf>
    <xf numFmtId="0" fontId="4" fillId="16" borderId="40" xfId="0" applyFont="1" applyFill="1" applyBorder="1" applyAlignment="1">
      <alignment horizontal="left" vertical="center"/>
    </xf>
    <xf numFmtId="10" fontId="4" fillId="17" borderId="4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0" fontId="4" fillId="0" borderId="0" xfId="0" applyNumberFormat="1" applyFont="1" applyAlignment="1">
      <alignment horizontal="right" vertical="center"/>
    </xf>
    <xf numFmtId="0" fontId="0" fillId="18" borderId="42" xfId="0" applyFill="1" applyBorder="1" applyAlignment="1">
      <alignment horizontal="left" vertical="center"/>
    </xf>
    <xf numFmtId="10" fontId="3" fillId="0" borderId="0" xfId="0" applyNumberFormat="1" applyFont="1" applyAlignment="1">
      <alignment horizontal="right" vertical="center"/>
    </xf>
    <xf numFmtId="0" fontId="3" fillId="18" borderId="42" xfId="0" applyFont="1" applyFill="1" applyBorder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5" fillId="0" borderId="0" xfId="1" applyAlignment="1" applyProtection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3" xfId="0" applyFont="1" applyBorder="1"/>
    <xf numFmtId="0" fontId="3" fillId="0" borderId="27" xfId="0" applyFont="1" applyBorder="1"/>
    <xf numFmtId="0" fontId="3" fillId="0" borderId="28" xfId="0" applyFont="1" applyBorder="1"/>
    <xf numFmtId="0" fontId="4" fillId="0" borderId="27" xfId="0" applyFont="1" applyBorder="1" applyAlignment="1">
      <alignment horizontal="left" vertical="center"/>
    </xf>
    <xf numFmtId="9" fontId="3" fillId="0" borderId="33" xfId="2" applyFont="1" applyBorder="1"/>
    <xf numFmtId="9" fontId="3" fillId="0" borderId="1" xfId="2" applyFont="1" applyBorder="1" applyAlignment="1">
      <alignment horizontal="center"/>
    </xf>
    <xf numFmtId="9" fontId="3" fillId="0" borderId="17" xfId="2" applyFont="1" applyBorder="1"/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10" fontId="3" fillId="21" borderId="46" xfId="0" applyNumberFormat="1" applyFont="1" applyFill="1" applyBorder="1" applyAlignment="1">
      <alignment horizontal="center" vertical="center"/>
    </xf>
    <xf numFmtId="10" fontId="3" fillId="0" borderId="17" xfId="2" applyNumberFormat="1" applyFont="1" applyBorder="1"/>
    <xf numFmtId="0" fontId="3" fillId="0" borderId="1" xfId="0" applyFont="1" applyBorder="1" applyAlignment="1">
      <alignment horizontal="center" vertical="center"/>
    </xf>
    <xf numFmtId="10" fontId="3" fillId="11" borderId="32" xfId="0" applyNumberFormat="1" applyFont="1" applyFill="1" applyBorder="1" applyAlignment="1">
      <alignment horizontal="center" vertical="center"/>
    </xf>
    <xf numFmtId="10" fontId="3" fillId="0" borderId="17" xfId="0" applyNumberFormat="1" applyFont="1" applyBorder="1" applyAlignment="1">
      <alignment horizontal="center" vertical="center"/>
    </xf>
    <xf numFmtId="10" fontId="3" fillId="6" borderId="21" xfId="2" applyNumberFormat="1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0" borderId="17" xfId="0" applyFont="1" applyBorder="1"/>
    <xf numFmtId="0" fontId="3" fillId="0" borderId="35" xfId="0" applyFont="1" applyBorder="1" applyAlignment="1">
      <alignment horizontal="left" vertical="center"/>
    </xf>
    <xf numFmtId="10" fontId="3" fillId="22" borderId="4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10" fontId="3" fillId="0" borderId="50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1" xfId="0" applyFont="1" applyBorder="1" applyAlignment="1">
      <alignment vertical="center"/>
    </xf>
    <xf numFmtId="0" fontId="4" fillId="23" borderId="52" xfId="0" applyFont="1" applyFill="1" applyBorder="1" applyAlignment="1">
      <alignment vertical="center" wrapText="1"/>
    </xf>
    <xf numFmtId="0" fontId="3" fillId="24" borderId="53" xfId="0" applyFont="1" applyFill="1" applyBorder="1" applyAlignment="1">
      <alignment vertical="center"/>
    </xf>
    <xf numFmtId="10" fontId="4" fillId="25" borderId="54" xfId="0" applyNumberFormat="1" applyFont="1" applyFill="1" applyBorder="1" applyAlignment="1">
      <alignment horizontal="center" vertical="center" wrapText="1"/>
    </xf>
    <xf numFmtId="10" fontId="3" fillId="0" borderId="33" xfId="2" applyNumberFormat="1" applyFont="1" applyBorder="1" applyAlignment="1">
      <alignment horizontal="right"/>
    </xf>
    <xf numFmtId="10" fontId="3" fillId="0" borderId="1" xfId="2" applyNumberFormat="1" applyFont="1" applyBorder="1" applyAlignment="1">
      <alignment horizontal="right"/>
    </xf>
    <xf numFmtId="10" fontId="3" fillId="0" borderId="17" xfId="2" applyNumberFormat="1" applyFont="1" applyBorder="1" applyAlignment="1">
      <alignment horizontal="right"/>
    </xf>
    <xf numFmtId="10" fontId="3" fillId="0" borderId="35" xfId="2" applyNumberFormat="1" applyFont="1" applyBorder="1" applyAlignment="1">
      <alignment horizontal="right"/>
    </xf>
    <xf numFmtId="10" fontId="3" fillId="0" borderId="55" xfId="2" applyNumberFormat="1" applyFont="1" applyBorder="1" applyAlignment="1">
      <alignment horizontal="right"/>
    </xf>
    <xf numFmtId="10" fontId="3" fillId="0" borderId="29" xfId="2" applyNumberFormat="1" applyFont="1" applyBorder="1" applyAlignment="1">
      <alignment horizontal="right"/>
    </xf>
    <xf numFmtId="165" fontId="0" fillId="0" borderId="56" xfId="3" applyFont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5" fontId="1" fillId="0" borderId="7" xfId="3" applyFont="1" applyBorder="1" applyAlignment="1">
      <alignment vertical="center"/>
    </xf>
    <xf numFmtId="165" fontId="1" fillId="0" borderId="4" xfId="3" applyFont="1" applyBorder="1" applyAlignment="1">
      <alignment vertical="center"/>
    </xf>
    <xf numFmtId="9" fontId="1" fillId="26" borderId="57" xfId="2" applyFont="1" applyFill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right"/>
    </xf>
    <xf numFmtId="168" fontId="4" fillId="0" borderId="17" xfId="0" applyNumberFormat="1" applyFont="1" applyBorder="1"/>
    <xf numFmtId="9" fontId="4" fillId="0" borderId="17" xfId="2" applyFont="1" applyBorder="1"/>
    <xf numFmtId="10" fontId="4" fillId="0" borderId="17" xfId="2" applyNumberFormat="1" applyFont="1" applyBorder="1"/>
    <xf numFmtId="9" fontId="4" fillId="0" borderId="20" xfId="2" applyFont="1" applyBorder="1"/>
    <xf numFmtId="0" fontId="3" fillId="0" borderId="58" xfId="0" applyFont="1" applyBorder="1"/>
    <xf numFmtId="169" fontId="1" fillId="0" borderId="0" xfId="3" applyNumberFormat="1" applyFont="1" applyAlignment="1">
      <alignment horizontal="center" vertical="center"/>
    </xf>
    <xf numFmtId="13" fontId="0" fillId="6" borderId="21" xfId="0" applyNumberForma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0" xfId="0" applyFill="1" applyAlignment="1">
      <alignment vertical="center"/>
    </xf>
    <xf numFmtId="10" fontId="3" fillId="0" borderId="0" xfId="0" applyNumberFormat="1" applyFont="1"/>
    <xf numFmtId="10" fontId="0" fillId="0" borderId="0" xfId="2" applyNumberFormat="1" applyFont="1"/>
    <xf numFmtId="10" fontId="3" fillId="0" borderId="17" xfId="2" applyNumberFormat="1" applyFont="1" applyBorder="1" applyAlignment="1">
      <alignment horizontal="right" vertical="center"/>
    </xf>
    <xf numFmtId="10" fontId="3" fillId="0" borderId="0" xfId="2" applyNumberFormat="1" applyFont="1" applyAlignment="1">
      <alignment horizontal="left" vertical="center"/>
    </xf>
    <xf numFmtId="0" fontId="6" fillId="0" borderId="60" xfId="0" applyFont="1" applyFill="1" applyBorder="1" applyAlignment="1">
      <alignment vertical="center"/>
    </xf>
    <xf numFmtId="0" fontId="0" fillId="0" borderId="0" xfId="0" applyFill="1"/>
    <xf numFmtId="0" fontId="1" fillId="0" borderId="0" xfId="0" applyFont="1" applyFill="1"/>
    <xf numFmtId="0" fontId="4" fillId="0" borderId="60" xfId="0" applyFont="1" applyFill="1" applyBorder="1"/>
    <xf numFmtId="0" fontId="3" fillId="0" borderId="60" xfId="0" applyFont="1" applyFill="1" applyBorder="1"/>
    <xf numFmtId="0" fontId="4" fillId="0" borderId="58" xfId="0" applyFont="1" applyBorder="1"/>
    <xf numFmtId="0" fontId="3" fillId="0" borderId="11" xfId="0" applyFont="1" applyBorder="1"/>
    <xf numFmtId="0" fontId="3" fillId="0" borderId="80" xfId="0" applyFont="1" applyBorder="1"/>
    <xf numFmtId="0" fontId="3" fillId="0" borderId="43" xfId="0" applyFont="1" applyBorder="1"/>
    <xf numFmtId="0" fontId="4" fillId="11" borderId="79" xfId="0" applyFont="1" applyFill="1" applyBorder="1"/>
    <xf numFmtId="0" fontId="3" fillId="11" borderId="79" xfId="0" applyFont="1" applyFill="1" applyBorder="1"/>
    <xf numFmtId="0" fontId="3" fillId="19" borderId="79" xfId="0" applyFont="1" applyFill="1" applyBorder="1"/>
    <xf numFmtId="0" fontId="3" fillId="0" borderId="79" xfId="0" applyFont="1" applyBorder="1"/>
    <xf numFmtId="0" fontId="3" fillId="20" borderId="79" xfId="0" applyFont="1" applyFill="1" applyBorder="1"/>
    <xf numFmtId="0" fontId="15" fillId="0" borderId="65" xfId="0" applyFont="1" applyBorder="1"/>
    <xf numFmtId="0" fontId="15" fillId="0" borderId="33" xfId="0" applyFont="1" applyBorder="1"/>
    <xf numFmtId="165" fontId="0" fillId="0" borderId="25" xfId="3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1" fillId="0" borderId="60" xfId="0" applyFont="1" applyBorder="1" applyAlignment="1">
      <alignment vertical="center"/>
    </xf>
    <xf numFmtId="0" fontId="0" fillId="0" borderId="60" xfId="0" applyBorder="1" applyAlignment="1">
      <alignment vertical="center"/>
    </xf>
    <xf numFmtId="165" fontId="0" fillId="0" borderId="60" xfId="3" applyFont="1" applyBorder="1" applyAlignment="1">
      <alignment vertical="center"/>
    </xf>
    <xf numFmtId="0" fontId="0" fillId="0" borderId="37" xfId="0" applyBorder="1" applyAlignment="1">
      <alignment vertical="center"/>
    </xf>
    <xf numFmtId="165" fontId="1" fillId="0" borderId="60" xfId="3" applyFont="1" applyFill="1" applyBorder="1" applyAlignment="1">
      <alignment vertical="center"/>
    </xf>
    <xf numFmtId="165" fontId="1" fillId="0" borderId="58" xfId="3" applyFont="1" applyBorder="1" applyAlignment="1">
      <alignment horizontal="left" vertical="center"/>
    </xf>
    <xf numFmtId="4" fontId="1" fillId="0" borderId="81" xfId="0" applyNumberFormat="1" applyFont="1" applyBorder="1" applyAlignment="1">
      <alignment horizontal="centerContinuous" vertical="center"/>
    </xf>
    <xf numFmtId="165" fontId="1" fillId="0" borderId="81" xfId="3" applyFont="1" applyBorder="1" applyAlignment="1">
      <alignment vertical="center"/>
    </xf>
    <xf numFmtId="167" fontId="1" fillId="0" borderId="25" xfId="0" applyNumberFormat="1" applyFont="1" applyBorder="1" applyAlignment="1">
      <alignment vertical="center"/>
    </xf>
    <xf numFmtId="10" fontId="1" fillId="0" borderId="80" xfId="2" applyNumberFormat="1" applyFont="1" applyBorder="1" applyAlignment="1">
      <alignment vertical="center"/>
    </xf>
    <xf numFmtId="165" fontId="1" fillId="0" borderId="83" xfId="3" applyFont="1" applyBorder="1" applyAlignment="1">
      <alignment vertical="center"/>
    </xf>
    <xf numFmtId="0" fontId="0" fillId="0" borderId="1" xfId="0" applyFill="1" applyBorder="1" applyAlignment="1">
      <alignment vertical="center"/>
    </xf>
    <xf numFmtId="13" fontId="0" fillId="6" borderId="37" xfId="0" applyNumberFormat="1" applyFill="1" applyBorder="1" applyAlignment="1">
      <alignment vertical="center"/>
    </xf>
    <xf numFmtId="165" fontId="7" fillId="0" borderId="60" xfId="3" applyFont="1" applyFill="1" applyBorder="1" applyAlignment="1">
      <alignment horizontal="center" vertical="center"/>
    </xf>
    <xf numFmtId="165" fontId="1" fillId="0" borderId="11" xfId="3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85" xfId="0" applyNumberFormat="1" applyFont="1" applyBorder="1" applyAlignment="1">
      <alignment vertical="center"/>
    </xf>
    <xf numFmtId="9" fontId="1" fillId="0" borderId="86" xfId="2" applyFont="1" applyBorder="1" applyAlignment="1">
      <alignment vertical="center"/>
    </xf>
    <xf numFmtId="0" fontId="0" fillId="0" borderId="84" xfId="0" applyFont="1" applyFill="1" applyBorder="1" applyAlignment="1">
      <alignment horizontal="left" vertical="top"/>
    </xf>
    <xf numFmtId="2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0" fillId="0" borderId="60" xfId="0" applyBorder="1"/>
    <xf numFmtId="0" fontId="0" fillId="0" borderId="37" xfId="0" applyBorder="1" applyAlignment="1">
      <alignment horizontal="center" vertical="center"/>
    </xf>
    <xf numFmtId="165" fontId="0" fillId="0" borderId="0" xfId="3" applyNumberFormat="1" applyFont="1" applyAlignment="1">
      <alignment vertical="center"/>
    </xf>
    <xf numFmtId="43" fontId="0" fillId="0" borderId="0" xfId="0" applyNumberForma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13" fontId="0" fillId="6" borderId="25" xfId="0" applyNumberFormat="1" applyFill="1" applyBorder="1" applyAlignment="1">
      <alignment vertical="center"/>
    </xf>
    <xf numFmtId="165" fontId="0" fillId="7" borderId="91" xfId="3" applyFont="1" applyFill="1" applyBorder="1" applyAlignment="1">
      <alignment horizontal="center" vertical="center"/>
    </xf>
    <xf numFmtId="9" fontId="0" fillId="0" borderId="0" xfId="2" applyFont="1" applyAlignment="1">
      <alignment vertical="center"/>
    </xf>
    <xf numFmtId="165" fontId="0" fillId="0" borderId="22" xfId="3" applyFont="1" applyBorder="1" applyAlignment="1">
      <alignment horizontal="center" vertical="center"/>
    </xf>
    <xf numFmtId="4" fontId="17" fillId="0" borderId="60" xfId="0" applyNumberFormat="1" applyFont="1" applyBorder="1" applyAlignment="1">
      <alignment horizontal="center" vertical="center" wrapText="1"/>
    </xf>
    <xf numFmtId="0" fontId="1" fillId="0" borderId="76" xfId="0" applyFont="1" applyBorder="1" applyAlignment="1">
      <alignment vertical="center"/>
    </xf>
    <xf numFmtId="0" fontId="0" fillId="0" borderId="77" xfId="0" applyBorder="1" applyAlignment="1">
      <alignment vertical="center"/>
    </xf>
    <xf numFmtId="165" fontId="0" fillId="0" borderId="77" xfId="3" applyFont="1" applyBorder="1" applyAlignment="1">
      <alignment vertical="center"/>
    </xf>
    <xf numFmtId="165" fontId="0" fillId="0" borderId="78" xfId="3" applyFont="1" applyBorder="1" applyAlignment="1">
      <alignment vertical="center"/>
    </xf>
    <xf numFmtId="165" fontId="1" fillId="2" borderId="93" xfId="3" applyFont="1" applyFill="1" applyBorder="1" applyAlignment="1">
      <alignment vertical="center"/>
    </xf>
    <xf numFmtId="0" fontId="16" fillId="0" borderId="88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165" fontId="2" fillId="0" borderId="89" xfId="3" applyFont="1" applyBorder="1" applyAlignment="1">
      <alignment vertical="center"/>
    </xf>
    <xf numFmtId="165" fontId="2" fillId="0" borderId="90" xfId="3" applyFont="1" applyBorder="1" applyAlignment="1">
      <alignment vertical="center"/>
    </xf>
    <xf numFmtId="0" fontId="1" fillId="0" borderId="82" xfId="0" applyFont="1" applyBorder="1" applyAlignment="1">
      <alignment vertical="center" wrapText="1"/>
    </xf>
    <xf numFmtId="0" fontId="2" fillId="0" borderId="83" xfId="0" applyFont="1" applyBorder="1" applyAlignment="1">
      <alignment vertical="center"/>
    </xf>
    <xf numFmtId="165" fontId="2" fillId="0" borderId="83" xfId="3" applyFont="1" applyBorder="1" applyAlignment="1">
      <alignment vertical="center"/>
    </xf>
    <xf numFmtId="165" fontId="2" fillId="0" borderId="87" xfId="3" applyFont="1" applyBorder="1" applyAlignment="1">
      <alignment vertical="center"/>
    </xf>
    <xf numFmtId="165" fontId="1" fillId="0" borderId="92" xfId="3" applyFont="1" applyBorder="1" applyAlignment="1">
      <alignment vertical="center"/>
    </xf>
    <xf numFmtId="0" fontId="4" fillId="0" borderId="18" xfId="0" applyFont="1" applyBorder="1" applyAlignment="1">
      <alignment wrapText="1"/>
    </xf>
    <xf numFmtId="0" fontId="0" fillId="0" borderId="60" xfId="0" applyFill="1" applyBorder="1"/>
    <xf numFmtId="168" fontId="1" fillId="2" borderId="94" xfId="3" applyNumberFormat="1" applyFont="1" applyFill="1" applyBorder="1" applyAlignment="1">
      <alignment vertical="center"/>
    </xf>
    <xf numFmtId="0" fontId="8" fillId="27" borderId="62" xfId="0" applyFont="1" applyFill="1" applyBorder="1" applyAlignment="1">
      <alignment horizontal="center" vertical="center"/>
    </xf>
    <xf numFmtId="0" fontId="8" fillId="28" borderId="63" xfId="0" applyFont="1" applyFill="1" applyBorder="1" applyAlignment="1">
      <alignment horizontal="center" vertical="center"/>
    </xf>
    <xf numFmtId="0" fontId="8" fillId="29" borderId="64" xfId="0" applyFont="1" applyFill="1" applyBorder="1" applyAlignment="1">
      <alignment horizontal="center" vertical="center"/>
    </xf>
    <xf numFmtId="0" fontId="4" fillId="30" borderId="65" xfId="0" applyFont="1" applyFill="1" applyBorder="1" applyAlignment="1">
      <alignment horizontal="center" vertical="center"/>
    </xf>
    <xf numFmtId="0" fontId="4" fillId="31" borderId="66" xfId="0" applyFont="1" applyFill="1" applyBorder="1" applyAlignment="1">
      <alignment horizontal="center" vertical="center"/>
    </xf>
    <xf numFmtId="0" fontId="4" fillId="32" borderId="67" xfId="0" applyFont="1" applyFill="1" applyBorder="1" applyAlignment="1">
      <alignment horizontal="center" vertical="center"/>
    </xf>
    <xf numFmtId="165" fontId="2" fillId="33" borderId="68" xfId="3" applyFont="1" applyFill="1" applyBorder="1" applyAlignment="1">
      <alignment horizontal="center" vertical="center"/>
    </xf>
    <xf numFmtId="165" fontId="2" fillId="34" borderId="69" xfId="3" applyFont="1" applyFill="1" applyBorder="1" applyAlignment="1">
      <alignment horizontal="center" vertical="center"/>
    </xf>
    <xf numFmtId="165" fontId="2" fillId="35" borderId="70" xfId="3" applyFont="1" applyFill="1" applyBorder="1" applyAlignment="1">
      <alignment horizontal="center" vertical="center"/>
    </xf>
    <xf numFmtId="165" fontId="1" fillId="0" borderId="11" xfId="3" applyFont="1" applyBorder="1" applyAlignment="1">
      <alignment horizontal="left" vertical="center"/>
    </xf>
    <xf numFmtId="165" fontId="1" fillId="0" borderId="9" xfId="3" applyFont="1" applyBorder="1" applyAlignment="1">
      <alignment horizontal="left" vertical="center"/>
    </xf>
    <xf numFmtId="165" fontId="1" fillId="0" borderId="82" xfId="3" applyFont="1" applyBorder="1" applyAlignment="1">
      <alignment horizontal="center" vertical="center" wrapText="1"/>
    </xf>
    <xf numFmtId="165" fontId="1" fillId="0" borderId="83" xfId="3" applyFont="1" applyBorder="1" applyAlignment="1">
      <alignment horizontal="center" vertical="center" wrapText="1"/>
    </xf>
    <xf numFmtId="172" fontId="1" fillId="0" borderId="95" xfId="0" applyNumberFormat="1" applyFont="1" applyBorder="1" applyAlignment="1">
      <alignment horizontal="left" vertical="center"/>
    </xf>
    <xf numFmtId="172" fontId="1" fillId="0" borderId="96" xfId="0" applyNumberFormat="1" applyFont="1" applyBorder="1" applyAlignment="1">
      <alignment horizontal="left" vertical="center"/>
    </xf>
    <xf numFmtId="172" fontId="1" fillId="0" borderId="97" xfId="0" applyNumberFormat="1" applyFont="1" applyBorder="1" applyAlignment="1">
      <alignment horizontal="left" vertical="center"/>
    </xf>
    <xf numFmtId="165" fontId="0" fillId="0" borderId="79" xfId="3" applyFont="1" applyBorder="1" applyAlignment="1">
      <alignment horizontal="center" vertical="center"/>
    </xf>
    <xf numFmtId="165" fontId="1" fillId="0" borderId="4" xfId="3" applyFont="1" applyBorder="1" applyAlignment="1">
      <alignment horizontal="center" vertical="center"/>
    </xf>
    <xf numFmtId="165" fontId="1" fillId="0" borderId="5" xfId="3" applyFont="1" applyBorder="1" applyAlignment="1">
      <alignment horizontal="center" vertical="center"/>
    </xf>
    <xf numFmtId="165" fontId="1" fillId="0" borderId="61" xfId="3" applyFont="1" applyBorder="1" applyAlignment="1">
      <alignment horizontal="center" vertical="center"/>
    </xf>
    <xf numFmtId="0" fontId="8" fillId="36" borderId="71" xfId="0" applyFont="1" applyFill="1" applyBorder="1" applyAlignment="1">
      <alignment horizontal="center" vertical="center"/>
    </xf>
    <xf numFmtId="0" fontId="8" fillId="37" borderId="72" xfId="0" applyFont="1" applyFill="1" applyBorder="1" applyAlignment="1">
      <alignment horizontal="center" vertical="center"/>
    </xf>
    <xf numFmtId="0" fontId="8" fillId="38" borderId="73" xfId="0" applyFont="1" applyFill="1" applyBorder="1" applyAlignment="1">
      <alignment horizontal="center" vertical="center"/>
    </xf>
    <xf numFmtId="0" fontId="8" fillId="39" borderId="74" xfId="0" applyFont="1" applyFill="1" applyBorder="1" applyAlignment="1">
      <alignment horizontal="center"/>
    </xf>
    <xf numFmtId="0" fontId="8" fillId="40" borderId="75" xfId="0" applyFont="1" applyFill="1" applyBorder="1" applyAlignment="1">
      <alignment horizontal="center"/>
    </xf>
    <xf numFmtId="0" fontId="6" fillId="0" borderId="60" xfId="0" applyFont="1" applyBorder="1" applyAlignment="1">
      <alignment horizontal="left" vertical="top" wrapText="1"/>
    </xf>
    <xf numFmtId="0" fontId="0" fillId="0" borderId="60" xfId="0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41" borderId="76" xfId="0" applyFont="1" applyFill="1" applyBorder="1" applyAlignment="1">
      <alignment horizontal="center" vertical="center"/>
    </xf>
    <xf numFmtId="0" fontId="2" fillId="42" borderId="77" xfId="0" applyFont="1" applyFill="1" applyBorder="1" applyAlignment="1">
      <alignment horizontal="center" vertical="center"/>
    </xf>
    <xf numFmtId="0" fontId="2" fillId="43" borderId="78" xfId="0" applyFont="1" applyFill="1" applyBorder="1" applyAlignment="1">
      <alignment horizontal="center" vertical="center"/>
    </xf>
    <xf numFmtId="9" fontId="4" fillId="0" borderId="44" xfId="2" applyFont="1" applyBorder="1" applyAlignment="1">
      <alignment horizontal="center"/>
    </xf>
    <xf numFmtId="9" fontId="4" fillId="0" borderId="45" xfId="2" applyFont="1" applyBorder="1" applyAlignment="1">
      <alignment horizontal="center"/>
    </xf>
    <xf numFmtId="9" fontId="4" fillId="0" borderId="8" xfId="2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174" fontId="1" fillId="0" borderId="82" xfId="0" applyNumberFormat="1" applyFont="1" applyBorder="1" applyAlignment="1">
      <alignment horizontal="center" vertical="center"/>
    </xf>
    <xf numFmtId="174" fontId="1" fillId="0" borderId="87" xfId="0" applyNumberFormat="1" applyFont="1" applyBorder="1" applyAlignment="1">
      <alignment horizontal="center" vertical="center"/>
    </xf>
    <xf numFmtId="176" fontId="1" fillId="2" borderId="3" xfId="3" applyNumberFormat="1" applyFont="1" applyFill="1" applyBorder="1" applyAlignment="1">
      <alignment vertical="center"/>
    </xf>
  </cellXfs>
  <cellStyles count="4">
    <cellStyle name="Hiperlink" xfId="1" builtinId="8" customBuiltin="1"/>
    <cellStyle name="Normal" xfId="0" builtinId="0" customBuiltin="1"/>
    <cellStyle name="Porcentagem" xfId="2" builtinId="5" customBuiltin="1"/>
    <cellStyle name="Vírgula" xfId="3" builtinId="3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18490794" count="1">
        <pm:charStyle name="Normal" fontId="0" Id="1"/>
      </pm:charStyles>
      <pm:colors xmlns:pm="smNativeData" id="1618490794" count="7">
        <pm:color name="Cor 24" rgb="C5D9F1"/>
        <pm:color name="Cor 25" rgb="EEECE1"/>
        <pm:color name="Cor 26" rgb="D8D8D8"/>
        <pm:color name="Cor 27" rgb="A5A5A5"/>
        <pm:color name="Cor 28" rgb="DDD9C4"/>
        <pm:color name="Cor 29" rgb="BFBFBF"/>
        <pm:color name="Cor 30" rgb="FFFF9E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9"/>
  <sheetViews>
    <sheetView topLeftCell="A100" zoomScale="70" zoomScaleNormal="70" workbookViewId="0">
      <selection activeCell="F110" sqref="F110"/>
    </sheetView>
  </sheetViews>
  <sheetFormatPr defaultRowHeight="12.75" x14ac:dyDescent="0.2"/>
  <cols>
    <col min="1" max="1" width="51.140625" style="4" customWidth="1"/>
    <col min="2" max="2" width="16" style="4" customWidth="1"/>
    <col min="3" max="3" width="11.85546875" style="4" customWidth="1"/>
    <col min="4" max="4" width="14.7109375" style="6" customWidth="1"/>
    <col min="5" max="5" width="18.85546875" style="6" customWidth="1"/>
    <col min="6" max="6" width="14.28515625" style="6" bestFit="1" customWidth="1"/>
    <col min="7" max="7" width="28.140625" style="6" customWidth="1"/>
    <col min="8" max="8" width="9.140625" style="4" customWidth="1"/>
    <col min="9" max="9" width="35.7109375" style="4" customWidth="1"/>
    <col min="10" max="10" width="13.42578125" style="4" customWidth="1"/>
    <col min="11" max="11" width="23.42578125" style="4" customWidth="1"/>
    <col min="12" max="16384" width="9.140625" style="4"/>
  </cols>
  <sheetData>
    <row r="1" spans="1:10" ht="15.75" x14ac:dyDescent="0.2">
      <c r="A1" s="37"/>
    </row>
    <row r="2" spans="1:10" ht="16.5" customHeight="1" thickBot="1" x14ac:dyDescent="0.25">
      <c r="B2" s="5"/>
      <c r="C2" s="5"/>
    </row>
    <row r="3" spans="1:10" s="7" customFormat="1" ht="18" x14ac:dyDescent="0.2">
      <c r="A3" s="240" t="s">
        <v>181</v>
      </c>
      <c r="B3" s="241"/>
      <c r="C3" s="241"/>
      <c r="D3" s="241"/>
      <c r="E3" s="241"/>
      <c r="F3" s="242"/>
      <c r="G3" s="27"/>
    </row>
    <row r="4" spans="1:10" s="7" customFormat="1" ht="21.75" customHeight="1" x14ac:dyDescent="0.2">
      <c r="A4" s="243" t="s">
        <v>1</v>
      </c>
      <c r="B4" s="244"/>
      <c r="C4" s="244"/>
      <c r="D4" s="244"/>
      <c r="E4" s="244"/>
      <c r="F4" s="245"/>
      <c r="G4" s="27"/>
    </row>
    <row r="5" spans="1:10" ht="10.9" customHeight="1" x14ac:dyDescent="0.2">
      <c r="A5" s="82"/>
      <c r="B5" s="5"/>
      <c r="C5" s="5"/>
      <c r="F5" s="75"/>
    </row>
    <row r="6" spans="1:10" ht="15.75" customHeight="1" x14ac:dyDescent="0.2">
      <c r="A6" s="246" t="s">
        <v>2</v>
      </c>
      <c r="B6" s="247"/>
      <c r="C6" s="247"/>
      <c r="D6" s="247"/>
      <c r="E6" s="247"/>
      <c r="F6" s="248"/>
    </row>
    <row r="7" spans="1:10" ht="15.75" customHeight="1" x14ac:dyDescent="0.2">
      <c r="A7" s="43" t="s">
        <v>3</v>
      </c>
      <c r="B7" s="30"/>
      <c r="C7" s="30"/>
      <c r="D7" s="151"/>
      <c r="E7" s="62" t="s">
        <v>4</v>
      </c>
      <c r="F7" s="31" t="s">
        <v>5</v>
      </c>
    </row>
    <row r="8" spans="1:10" s="8" customFormat="1" ht="15.75" customHeight="1" x14ac:dyDescent="0.2">
      <c r="A8" s="69" t="str">
        <f>A28</f>
        <v>1. Mão-de-obra</v>
      </c>
      <c r="B8" s="70"/>
      <c r="C8" s="71"/>
      <c r="D8" s="71"/>
      <c r="E8" s="149">
        <f>F58</f>
        <v>0</v>
      </c>
      <c r="F8" s="72">
        <f t="shared" ref="F8:F15" si="0">IFERROR(E8/$E$16,0)</f>
        <v>0</v>
      </c>
      <c r="G8" s="18"/>
      <c r="J8" s="74"/>
    </row>
    <row r="9" spans="1:10" ht="15.75" customHeight="1" x14ac:dyDescent="0.2">
      <c r="A9" s="35" t="str">
        <f>A30</f>
        <v>1.1. Varredor Turno Dia</v>
      </c>
      <c r="B9" s="32"/>
      <c r="C9" s="33"/>
      <c r="D9" s="33"/>
      <c r="E9" s="150">
        <f>F38</f>
        <v>0</v>
      </c>
      <c r="F9" s="38">
        <f t="shared" si="0"/>
        <v>0</v>
      </c>
      <c r="I9" s="8"/>
      <c r="J9" s="74"/>
    </row>
    <row r="10" spans="1:10" ht="15.75" customHeight="1" x14ac:dyDescent="0.2">
      <c r="A10" s="35" t="str">
        <f>A41</f>
        <v>1.2. Vale Transporte</v>
      </c>
      <c r="B10" s="32"/>
      <c r="C10" s="33"/>
      <c r="D10" s="33"/>
      <c r="E10" s="150">
        <f>F46</f>
        <v>0</v>
      </c>
      <c r="F10" s="38">
        <f t="shared" si="0"/>
        <v>0</v>
      </c>
      <c r="I10" s="8"/>
      <c r="J10" s="74"/>
    </row>
    <row r="11" spans="1:10" ht="15.75" customHeight="1" x14ac:dyDescent="0.2">
      <c r="A11" s="35" t="str">
        <f>A48</f>
        <v>1.3. Vale-refeição (diário)</v>
      </c>
      <c r="B11" s="32"/>
      <c r="C11" s="33"/>
      <c r="D11" s="33"/>
      <c r="E11" s="150">
        <f>F51</f>
        <v>0</v>
      </c>
      <c r="F11" s="38">
        <f t="shared" si="0"/>
        <v>0</v>
      </c>
      <c r="I11" s="8"/>
      <c r="J11" s="215"/>
    </row>
    <row r="12" spans="1:10" ht="15.75" customHeight="1" x14ac:dyDescent="0.2">
      <c r="A12" s="35" t="str">
        <f>A53</f>
        <v>1.4. Auxílio Alimentação (mensal)</v>
      </c>
      <c r="B12" s="32"/>
      <c r="C12" s="33"/>
      <c r="D12" s="33"/>
      <c r="E12" s="150">
        <f>F56</f>
        <v>0</v>
      </c>
      <c r="F12" s="38">
        <f t="shared" si="0"/>
        <v>0</v>
      </c>
    </row>
    <row r="13" spans="1:10" s="8" customFormat="1" ht="15.75" customHeight="1" x14ac:dyDescent="0.2">
      <c r="A13" s="249" t="str">
        <f>A60</f>
        <v>2. Uniformes e Equipamentos de Proteção Individual</v>
      </c>
      <c r="B13" s="250"/>
      <c r="C13" s="250"/>
      <c r="D13" s="71"/>
      <c r="E13" s="149">
        <f>F77</f>
        <v>0</v>
      </c>
      <c r="F13" s="72">
        <f t="shared" si="0"/>
        <v>0</v>
      </c>
      <c r="G13" s="18"/>
    </row>
    <row r="14" spans="1:10" s="8" customFormat="1" ht="15.75" customHeight="1" x14ac:dyDescent="0.2">
      <c r="A14" s="76" t="str">
        <f>A79</f>
        <v>3. Ferramentas e Materiais de Consumo</v>
      </c>
      <c r="B14" s="77"/>
      <c r="C14" s="71"/>
      <c r="D14" s="71"/>
      <c r="E14" s="149">
        <f>F91</f>
        <v>0</v>
      </c>
      <c r="F14" s="72">
        <f t="shared" si="0"/>
        <v>0</v>
      </c>
      <c r="G14" s="18"/>
    </row>
    <row r="15" spans="1:10" s="8" customFormat="1" ht="15.75" customHeight="1" thickBot="1" x14ac:dyDescent="0.25">
      <c r="A15" s="195" t="str">
        <f>A97</f>
        <v>4. Benefícios e Despesas Indiretas - BDI</v>
      </c>
      <c r="B15" s="196"/>
      <c r="C15" s="197"/>
      <c r="D15" s="197"/>
      <c r="E15" s="198">
        <f>F103</f>
        <v>0</v>
      </c>
      <c r="F15" s="199">
        <f t="shared" si="0"/>
        <v>0</v>
      </c>
      <c r="G15" s="18"/>
    </row>
    <row r="16" spans="1:10" ht="26.25" customHeight="1" thickBot="1" x14ac:dyDescent="0.25">
      <c r="A16" s="251" t="s">
        <v>166</v>
      </c>
      <c r="B16" s="252"/>
      <c r="C16" s="200"/>
      <c r="D16" s="200"/>
      <c r="E16" s="206">
        <f>E8+E13+E14+E15</f>
        <v>0</v>
      </c>
      <c r="F16" s="207">
        <f>(F8+F13+F14+F15)</f>
        <v>0</v>
      </c>
    </row>
    <row r="17" spans="1:10" ht="26.25" customHeight="1" thickBot="1" x14ac:dyDescent="0.25">
      <c r="A17" s="251" t="str">
        <f>A109</f>
        <v>PREÇO UNITÁRIO POR METRO VARRIDO (R$/m)</v>
      </c>
      <c r="B17" s="252"/>
      <c r="C17" s="200"/>
      <c r="D17" s="200"/>
      <c r="E17" s="276">
        <f>F109</f>
        <v>0</v>
      </c>
      <c r="F17" s="277"/>
    </row>
    <row r="19" spans="1:10" ht="13.5" thickBot="1" x14ac:dyDescent="0.25">
      <c r="J19" s="191"/>
    </row>
    <row r="20" spans="1:10" ht="15" customHeight="1" thickBot="1" x14ac:dyDescent="0.25">
      <c r="A20" s="246" t="s">
        <v>6</v>
      </c>
      <c r="B20" s="247"/>
      <c r="C20" s="247"/>
      <c r="D20" s="247"/>
      <c r="E20" s="248"/>
      <c r="J20" s="191"/>
    </row>
    <row r="21" spans="1:10" ht="15" customHeight="1" thickBot="1" x14ac:dyDescent="0.25">
      <c r="A21" s="257" t="s">
        <v>7</v>
      </c>
      <c r="B21" s="258"/>
      <c r="C21" s="258"/>
      <c r="D21" s="259"/>
      <c r="E21" s="34" t="s">
        <v>8</v>
      </c>
      <c r="J21" s="191"/>
    </row>
    <row r="22" spans="1:10" ht="15" customHeight="1" x14ac:dyDescent="0.2">
      <c r="A22" s="47" t="str">
        <f>A30</f>
        <v>1.1. Varredor Turno Dia</v>
      </c>
      <c r="B22" s="30"/>
      <c r="C22" s="30"/>
      <c r="D22" s="48"/>
      <c r="E22" s="49">
        <f>C37</f>
        <v>0</v>
      </c>
      <c r="J22" s="222"/>
    </row>
    <row r="23" spans="1:10" ht="15" customHeight="1" thickBot="1" x14ac:dyDescent="0.25">
      <c r="A23" s="45" t="s">
        <v>9</v>
      </c>
      <c r="B23" s="46"/>
      <c r="C23" s="46"/>
      <c r="D23" s="50"/>
      <c r="E23" s="51">
        <f>SUM(E22:E22)</f>
        <v>0</v>
      </c>
      <c r="J23" s="222"/>
    </row>
    <row r="24" spans="1:10" ht="15" customHeight="1" x14ac:dyDescent="0.2">
      <c r="A24" s="73"/>
      <c r="B24" s="74"/>
      <c r="C24" s="6"/>
      <c r="E24" s="75"/>
      <c r="J24" s="222"/>
    </row>
    <row r="25" spans="1:10" ht="13.5" thickBot="1" x14ac:dyDescent="0.25">
      <c r="A25" s="6"/>
      <c r="B25" s="6"/>
      <c r="C25" s="6"/>
      <c r="D25" s="4"/>
      <c r="E25" s="44"/>
      <c r="F25" s="4"/>
      <c r="J25" s="191"/>
    </row>
    <row r="26" spans="1:10" s="8" customFormat="1" ht="15.75" customHeight="1" thickBot="1" x14ac:dyDescent="0.25">
      <c r="A26" s="152" t="s">
        <v>10</v>
      </c>
      <c r="B26" s="153"/>
      <c r="C26" s="18"/>
      <c r="E26" s="164"/>
      <c r="G26" s="18"/>
      <c r="J26" s="74"/>
    </row>
    <row r="27" spans="1:10" ht="15.75" customHeight="1" x14ac:dyDescent="0.2">
      <c r="A27" s="6"/>
      <c r="B27" s="6"/>
      <c r="C27" s="6"/>
      <c r="D27" s="4"/>
      <c r="E27" s="44"/>
      <c r="F27" s="4"/>
      <c r="J27" s="220"/>
    </row>
    <row r="28" spans="1:10" ht="13.15" customHeight="1" x14ac:dyDescent="0.2">
      <c r="A28" s="8" t="s">
        <v>11</v>
      </c>
    </row>
    <row r="29" spans="1:10" ht="11.25" customHeight="1" x14ac:dyDescent="0.2"/>
    <row r="30" spans="1:10" ht="13.9" customHeight="1" x14ac:dyDescent="0.2">
      <c r="A30" s="4" t="s">
        <v>155</v>
      </c>
    </row>
    <row r="31" spans="1:10" ht="13.9" customHeight="1" x14ac:dyDescent="0.2">
      <c r="A31" s="39" t="s">
        <v>12</v>
      </c>
      <c r="B31" s="40" t="s">
        <v>13</v>
      </c>
      <c r="C31" s="40" t="s">
        <v>8</v>
      </c>
      <c r="D31" s="41" t="s">
        <v>14</v>
      </c>
      <c r="E31" s="41" t="s">
        <v>15</v>
      </c>
      <c r="F31" s="42" t="s">
        <v>16</v>
      </c>
    </row>
    <row r="32" spans="1:10" ht="13.15" customHeight="1" x14ac:dyDescent="0.2">
      <c r="A32" s="9" t="s">
        <v>17</v>
      </c>
      <c r="B32" s="10" t="s">
        <v>18</v>
      </c>
      <c r="C32" s="10">
        <v>1</v>
      </c>
      <c r="D32" s="53"/>
      <c r="E32" s="11">
        <f>C32*D32</f>
        <v>0</v>
      </c>
    </row>
    <row r="33" spans="1:7" x14ac:dyDescent="0.2">
      <c r="A33" s="12" t="s">
        <v>20</v>
      </c>
      <c r="B33" s="13" t="s">
        <v>5</v>
      </c>
      <c r="C33" s="13">
        <v>20</v>
      </c>
      <c r="D33" s="14">
        <f>SUM(E32:E32)</f>
        <v>0</v>
      </c>
      <c r="E33" s="14">
        <f>C33*D33/100</f>
        <v>0</v>
      </c>
    </row>
    <row r="34" spans="1:7" x14ac:dyDescent="0.2">
      <c r="A34" s="63" t="s">
        <v>21</v>
      </c>
      <c r="B34" s="64"/>
      <c r="C34" s="64"/>
      <c r="D34" s="26"/>
      <c r="E34" s="65">
        <f>SUM(E32:E33)</f>
        <v>0</v>
      </c>
    </row>
    <row r="35" spans="1:7" x14ac:dyDescent="0.2">
      <c r="A35" s="12" t="s">
        <v>22</v>
      </c>
      <c r="B35" s="13" t="s">
        <v>5</v>
      </c>
      <c r="C35" s="78">
        <f>'3.Encargos Sociais'!$C$32*100</f>
        <v>70.595951999999997</v>
      </c>
      <c r="D35" s="14">
        <f>E34</f>
        <v>0</v>
      </c>
      <c r="E35" s="14">
        <f>D35*C35/100</f>
        <v>0</v>
      </c>
    </row>
    <row r="36" spans="1:7" x14ac:dyDescent="0.2">
      <c r="A36" s="63" t="s">
        <v>156</v>
      </c>
      <c r="B36" s="64"/>
      <c r="C36" s="64"/>
      <c r="D36" s="26"/>
      <c r="E36" s="65">
        <f>E34+E35</f>
        <v>0</v>
      </c>
    </row>
    <row r="37" spans="1:7" ht="13.5" thickBot="1" x14ac:dyDescent="0.25">
      <c r="A37" s="12" t="s">
        <v>23</v>
      </c>
      <c r="B37" s="13" t="s">
        <v>24</v>
      </c>
      <c r="C37" s="52"/>
      <c r="D37" s="14">
        <f>E36</f>
        <v>0</v>
      </c>
      <c r="E37" s="14">
        <f>C37*D37</f>
        <v>0</v>
      </c>
    </row>
    <row r="38" spans="1:7" ht="13.9" customHeight="1" thickBot="1" x14ac:dyDescent="0.25">
      <c r="D38" s="67" t="s">
        <v>25</v>
      </c>
      <c r="E38" s="36">
        <f>$B$26</f>
        <v>0</v>
      </c>
      <c r="F38" s="68">
        <f>E37*E38</f>
        <v>0</v>
      </c>
    </row>
    <row r="39" spans="1:7" ht="11.25" customHeight="1" x14ac:dyDescent="0.2"/>
    <row r="40" spans="1:7" ht="11.25" customHeight="1" x14ac:dyDescent="0.2">
      <c r="G40" s="4"/>
    </row>
    <row r="41" spans="1:7" x14ac:dyDescent="0.2">
      <c r="A41" s="4" t="s">
        <v>159</v>
      </c>
      <c r="B41" s="57"/>
      <c r="D41" s="4"/>
      <c r="E41" s="4"/>
      <c r="G41" s="4"/>
    </row>
    <row r="42" spans="1:7" x14ac:dyDescent="0.2">
      <c r="A42" s="39" t="s">
        <v>12</v>
      </c>
      <c r="B42" s="40" t="s">
        <v>13</v>
      </c>
      <c r="C42" s="40" t="s">
        <v>8</v>
      </c>
      <c r="D42" s="41" t="s">
        <v>14</v>
      </c>
      <c r="E42" s="41" t="s">
        <v>15</v>
      </c>
      <c r="F42" s="42" t="s">
        <v>16</v>
      </c>
      <c r="G42" s="4"/>
    </row>
    <row r="43" spans="1:7" x14ac:dyDescent="0.2">
      <c r="A43" s="12" t="s">
        <v>26</v>
      </c>
      <c r="B43" s="13" t="s">
        <v>19</v>
      </c>
      <c r="C43" s="58">
        <v>1</v>
      </c>
      <c r="D43" s="56"/>
      <c r="E43" s="14"/>
      <c r="G43"/>
    </row>
    <row r="44" spans="1:7" x14ac:dyDescent="0.2">
      <c r="A44" s="12" t="s">
        <v>27</v>
      </c>
      <c r="B44" s="13" t="s">
        <v>28</v>
      </c>
      <c r="C44" s="55"/>
      <c r="D44" s="14"/>
      <c r="E44" s="14"/>
      <c r="G44" s="4"/>
    </row>
    <row r="45" spans="1:7" ht="13.5" thickBot="1" x14ac:dyDescent="0.25">
      <c r="A45" s="12" t="s">
        <v>157</v>
      </c>
      <c r="B45" s="13" t="s">
        <v>29</v>
      </c>
      <c r="C45" s="28">
        <f>$C$44*2*(C37)</f>
        <v>0</v>
      </c>
      <c r="D45" s="11" t="str">
        <f>IFERROR((($C$44*2*$D$43)-(E32*0.06*C44/26))/($C$44*2),"-")</f>
        <v>-</v>
      </c>
      <c r="E45" s="14" t="str">
        <f>IFERROR(C45*D45,"-")</f>
        <v>-</v>
      </c>
      <c r="G45" s="4"/>
    </row>
    <row r="46" spans="1:7" ht="13.5" thickBot="1" x14ac:dyDescent="0.25">
      <c r="F46" s="17">
        <f>SUM(E45:E45)</f>
        <v>0</v>
      </c>
      <c r="G46" s="4"/>
    </row>
    <row r="47" spans="1:7" ht="11.25" customHeight="1" x14ac:dyDescent="0.2">
      <c r="G47" s="4"/>
    </row>
    <row r="48" spans="1:7" x14ac:dyDescent="0.2">
      <c r="A48" s="4" t="s">
        <v>160</v>
      </c>
      <c r="F48" s="18"/>
      <c r="G48" s="4"/>
    </row>
    <row r="49" spans="1:7" x14ac:dyDescent="0.2">
      <c r="A49" s="39" t="s">
        <v>12</v>
      </c>
      <c r="B49" s="40" t="s">
        <v>13</v>
      </c>
      <c r="C49" s="40" t="s">
        <v>8</v>
      </c>
      <c r="D49" s="41" t="s">
        <v>14</v>
      </c>
      <c r="E49" s="41" t="s">
        <v>15</v>
      </c>
      <c r="F49" s="42" t="s">
        <v>16</v>
      </c>
      <c r="G49" s="4"/>
    </row>
    <row r="50" spans="1:7" ht="13.5" thickBot="1" x14ac:dyDescent="0.25">
      <c r="A50" s="12" t="str">
        <f>A45</f>
        <v>Varredor</v>
      </c>
      <c r="B50" s="13" t="s">
        <v>30</v>
      </c>
      <c r="C50" s="28">
        <f>C44*(E22)</f>
        <v>0</v>
      </c>
      <c r="D50" s="54"/>
      <c r="E50" s="36">
        <f>C50*D50</f>
        <v>0</v>
      </c>
      <c r="F50" s="18"/>
      <c r="G50" s="166"/>
    </row>
    <row r="51" spans="1:7" ht="13.5" thickBot="1" x14ac:dyDescent="0.25">
      <c r="F51" s="17">
        <f>SUM(E50:E50)</f>
        <v>0</v>
      </c>
      <c r="G51" s="167"/>
    </row>
    <row r="52" spans="1:7" x14ac:dyDescent="0.2">
      <c r="G52" s="167"/>
    </row>
    <row r="53" spans="1:7" x14ac:dyDescent="0.2">
      <c r="A53" s="4" t="s">
        <v>161</v>
      </c>
      <c r="F53" s="18"/>
      <c r="G53" s="167"/>
    </row>
    <row r="54" spans="1:7" x14ac:dyDescent="0.2">
      <c r="A54" s="39" t="s">
        <v>12</v>
      </c>
      <c r="B54" s="40" t="s">
        <v>13</v>
      </c>
      <c r="C54" s="40" t="s">
        <v>8</v>
      </c>
      <c r="D54" s="41" t="s">
        <v>14</v>
      </c>
      <c r="E54" s="41" t="s">
        <v>15</v>
      </c>
      <c r="F54" s="42" t="s">
        <v>16</v>
      </c>
      <c r="G54" s="167"/>
    </row>
    <row r="55" spans="1:7" ht="13.5" thickBot="1" x14ac:dyDescent="0.25">
      <c r="A55" s="12" t="str">
        <f>A50</f>
        <v>Varredor</v>
      </c>
      <c r="B55" s="13" t="s">
        <v>30</v>
      </c>
      <c r="C55" s="28">
        <f>E22</f>
        <v>0</v>
      </c>
      <c r="D55" s="54">
        <v>0</v>
      </c>
      <c r="E55" s="36">
        <f>C55*D55</f>
        <v>0</v>
      </c>
      <c r="F55" s="18"/>
      <c r="G55" s="166"/>
    </row>
    <row r="56" spans="1:7" ht="13.5" thickBot="1" x14ac:dyDescent="0.25">
      <c r="C56" s="256" t="s">
        <v>25</v>
      </c>
      <c r="D56" s="256"/>
      <c r="E56" s="148">
        <f>$B$26</f>
        <v>0</v>
      </c>
      <c r="F56" s="17">
        <f>SUM(E55:E55)*E56</f>
        <v>0</v>
      </c>
      <c r="G56" s="4"/>
    </row>
    <row r="57" spans="1:7" ht="13.5" thickBot="1" x14ac:dyDescent="0.25">
      <c r="G57" s="4"/>
    </row>
    <row r="58" spans="1:7" x14ac:dyDescent="0.2">
      <c r="A58" s="19" t="s">
        <v>31</v>
      </c>
      <c r="B58" s="20"/>
      <c r="C58" s="20"/>
      <c r="D58" s="21"/>
      <c r="E58" s="22"/>
      <c r="F58" s="17">
        <f>F56+F51+F46+F38</f>
        <v>0</v>
      </c>
      <c r="G58" s="4"/>
    </row>
    <row r="60" spans="1:7" x14ac:dyDescent="0.2">
      <c r="A60" s="8" t="s">
        <v>32</v>
      </c>
      <c r="G60" s="4"/>
    </row>
    <row r="61" spans="1:7" ht="11.25" customHeight="1" x14ac:dyDescent="0.2">
      <c r="G61" s="4"/>
    </row>
    <row r="62" spans="1:7" ht="13.9" customHeight="1" x14ac:dyDescent="0.2">
      <c r="A62" s="4" t="s">
        <v>158</v>
      </c>
      <c r="G62" s="4"/>
    </row>
    <row r="63" spans="1:7" ht="11.25" customHeight="1" x14ac:dyDescent="0.2">
      <c r="G63" s="4"/>
    </row>
    <row r="64" spans="1:7" ht="27.75" customHeight="1" thickBot="1" x14ac:dyDescent="0.25">
      <c r="A64" s="39" t="s">
        <v>12</v>
      </c>
      <c r="B64" s="40" t="s">
        <v>13</v>
      </c>
      <c r="C64" s="157" t="s">
        <v>33</v>
      </c>
      <c r="D64" s="41" t="s">
        <v>14</v>
      </c>
      <c r="E64" s="41" t="s">
        <v>15</v>
      </c>
      <c r="F64" s="42" t="s">
        <v>16</v>
      </c>
      <c r="G64" s="4"/>
    </row>
    <row r="65" spans="1:7" ht="13.15" customHeight="1" x14ac:dyDescent="0.2">
      <c r="A65" s="12" t="s">
        <v>34</v>
      </c>
      <c r="B65" s="13" t="s">
        <v>30</v>
      </c>
      <c r="C65" s="165"/>
      <c r="D65" s="53"/>
      <c r="E65" s="11">
        <f t="shared" ref="E65:E72" si="1">IFERROR(D65/C65,0)</f>
        <v>0</v>
      </c>
      <c r="G65" s="4"/>
    </row>
    <row r="66" spans="1:7" x14ac:dyDescent="0.2">
      <c r="A66" s="12" t="s">
        <v>35</v>
      </c>
      <c r="B66" s="13" t="s">
        <v>30</v>
      </c>
      <c r="C66" s="165"/>
      <c r="D66" s="53"/>
      <c r="E66" s="11">
        <f t="shared" si="1"/>
        <v>0</v>
      </c>
      <c r="G66" s="4"/>
    </row>
    <row r="67" spans="1:7" ht="13.9" customHeight="1" x14ac:dyDescent="0.2">
      <c r="A67" s="12" t="s">
        <v>36</v>
      </c>
      <c r="B67" s="13" t="s">
        <v>37</v>
      </c>
      <c r="C67" s="165"/>
      <c r="D67" s="53"/>
      <c r="E67" s="11">
        <f t="shared" si="1"/>
        <v>0</v>
      </c>
      <c r="G67" s="4"/>
    </row>
    <row r="68" spans="1:7" ht="13.15" customHeight="1" x14ac:dyDescent="0.2">
      <c r="A68" s="201" t="s">
        <v>38</v>
      </c>
      <c r="B68" s="13" t="s">
        <v>37</v>
      </c>
      <c r="C68" s="165"/>
      <c r="D68" s="53"/>
      <c r="E68" s="11">
        <f t="shared" si="1"/>
        <v>0</v>
      </c>
    </row>
    <row r="69" spans="1:7" x14ac:dyDescent="0.2">
      <c r="A69" s="2" t="s">
        <v>39</v>
      </c>
      <c r="B69" s="3" t="s">
        <v>30</v>
      </c>
      <c r="C69" s="165"/>
      <c r="D69" s="53"/>
      <c r="E69" s="11">
        <f t="shared" si="1"/>
        <v>0</v>
      </c>
      <c r="F69" s="1"/>
      <c r="G69" s="1"/>
    </row>
    <row r="70" spans="1:7" x14ac:dyDescent="0.2">
      <c r="A70" s="12" t="s">
        <v>40</v>
      </c>
      <c r="B70" s="13" t="s">
        <v>37</v>
      </c>
      <c r="C70" s="165"/>
      <c r="D70" s="53"/>
      <c r="E70" s="11">
        <f t="shared" si="1"/>
        <v>0</v>
      </c>
    </row>
    <row r="71" spans="1:7" x14ac:dyDescent="0.2">
      <c r="A71" s="193" t="s">
        <v>179</v>
      </c>
      <c r="B71" s="212" t="s">
        <v>30</v>
      </c>
      <c r="C71" s="202"/>
      <c r="D71" s="53"/>
      <c r="E71" s="221">
        <f t="shared" si="1"/>
        <v>0</v>
      </c>
    </row>
    <row r="72" spans="1:7" ht="13.15" customHeight="1" x14ac:dyDescent="0.2">
      <c r="A72" s="12" t="s">
        <v>41</v>
      </c>
      <c r="B72" s="13" t="s">
        <v>42</v>
      </c>
      <c r="C72" s="165"/>
      <c r="D72" s="53"/>
      <c r="E72" s="11">
        <f t="shared" si="1"/>
        <v>0</v>
      </c>
    </row>
    <row r="73" spans="1:7" ht="13.5" thickBot="1" x14ac:dyDescent="0.25">
      <c r="A73" s="12" t="s">
        <v>23</v>
      </c>
      <c r="B73" s="13" t="s">
        <v>24</v>
      </c>
      <c r="C73" s="189">
        <f>E22</f>
        <v>0</v>
      </c>
      <c r="D73" s="188">
        <f>SUM(E65:E72)</f>
        <v>0</v>
      </c>
      <c r="E73" s="14">
        <f>C73*D73</f>
        <v>0</v>
      </c>
    </row>
    <row r="74" spans="1:7" ht="13.5" thickBot="1" x14ac:dyDescent="0.25">
      <c r="C74" s="256" t="s">
        <v>25</v>
      </c>
      <c r="D74" s="256"/>
      <c r="E74" s="148">
        <f>$B$26</f>
        <v>0</v>
      </c>
      <c r="F74" s="68">
        <f>E73*E74</f>
        <v>0</v>
      </c>
    </row>
    <row r="75" spans="1:7" ht="11.25" customHeight="1" x14ac:dyDescent="0.2"/>
    <row r="76" spans="1:7" ht="11.25" customHeight="1" thickBot="1" x14ac:dyDescent="0.25">
      <c r="G76" s="172"/>
    </row>
    <row r="77" spans="1:7" x14ac:dyDescent="0.2">
      <c r="A77" s="19" t="s">
        <v>43</v>
      </c>
      <c r="B77" s="23"/>
      <c r="C77" s="23"/>
      <c r="D77" s="24"/>
      <c r="E77" s="25"/>
      <c r="F77" s="16">
        <f>F74</f>
        <v>0</v>
      </c>
      <c r="G77" s="172"/>
    </row>
    <row r="78" spans="1:7" ht="11.25" customHeight="1" x14ac:dyDescent="0.2">
      <c r="G78" s="4"/>
    </row>
    <row r="79" spans="1:7" x14ac:dyDescent="0.2">
      <c r="A79" s="8" t="s">
        <v>162</v>
      </c>
      <c r="B79" s="8"/>
      <c r="C79" s="8"/>
      <c r="D79" s="18"/>
      <c r="E79" s="18"/>
      <c r="F79" s="26"/>
      <c r="G79" s="4"/>
    </row>
    <row r="80" spans="1:7" ht="11.25" customHeight="1" thickBot="1" x14ac:dyDescent="0.25">
      <c r="G80" s="4"/>
    </row>
    <row r="81" spans="1:7" ht="24.75" thickBot="1" x14ac:dyDescent="0.25">
      <c r="A81" s="39" t="s">
        <v>12</v>
      </c>
      <c r="B81" s="40" t="s">
        <v>13</v>
      </c>
      <c r="C81" s="157" t="s">
        <v>33</v>
      </c>
      <c r="D81" s="41" t="s">
        <v>14</v>
      </c>
      <c r="E81" s="41" t="s">
        <v>15</v>
      </c>
      <c r="F81" s="42" t="s">
        <v>16</v>
      </c>
      <c r="G81" s="4"/>
    </row>
    <row r="82" spans="1:7" s="167" customFormat="1" x14ac:dyDescent="0.2">
      <c r="A82" s="208" t="s">
        <v>176</v>
      </c>
      <c r="B82" s="13" t="s">
        <v>30</v>
      </c>
      <c r="C82" s="165"/>
      <c r="D82" s="53"/>
      <c r="E82" s="14">
        <f>IFERROR(D82/C82,0)</f>
        <v>0</v>
      </c>
      <c r="F82" s="203"/>
    </row>
    <row r="83" spans="1:7" x14ac:dyDescent="0.2">
      <c r="A83" s="12" t="s">
        <v>44</v>
      </c>
      <c r="B83" s="13" t="s">
        <v>30</v>
      </c>
      <c r="C83" s="165"/>
      <c r="D83" s="53"/>
      <c r="E83" s="14">
        <f t="shared" ref="E83:E87" si="2">IFERROR(D83/C83,0)</f>
        <v>0</v>
      </c>
      <c r="F83" s="15"/>
      <c r="G83" s="4"/>
    </row>
    <row r="84" spans="1:7" x14ac:dyDescent="0.2">
      <c r="A84" s="193" t="s">
        <v>177</v>
      </c>
      <c r="B84" s="13" t="s">
        <v>164</v>
      </c>
      <c r="C84" s="165"/>
      <c r="D84" s="53"/>
      <c r="E84" s="14">
        <f>IFERROR(D84/C84,0)</f>
        <v>0</v>
      </c>
      <c r="F84" s="15"/>
      <c r="G84" s="4"/>
    </row>
    <row r="85" spans="1:7" x14ac:dyDescent="0.2">
      <c r="A85" s="12" t="s">
        <v>167</v>
      </c>
      <c r="B85" s="13" t="s">
        <v>30</v>
      </c>
      <c r="C85" s="165"/>
      <c r="D85" s="53"/>
      <c r="E85" s="14">
        <f t="shared" si="2"/>
        <v>0</v>
      </c>
      <c r="F85" s="15"/>
      <c r="G85" s="4"/>
    </row>
    <row r="86" spans="1:7" x14ac:dyDescent="0.2">
      <c r="A86" s="193" t="s">
        <v>163</v>
      </c>
      <c r="B86" s="13" t="s">
        <v>30</v>
      </c>
      <c r="C86" s="202"/>
      <c r="D86" s="53"/>
      <c r="E86" s="14">
        <f t="shared" si="2"/>
        <v>0</v>
      </c>
      <c r="F86" s="15"/>
      <c r="G86" s="4"/>
    </row>
    <row r="87" spans="1:7" x14ac:dyDescent="0.2">
      <c r="A87" s="216" t="s">
        <v>45</v>
      </c>
      <c r="B87" s="217" t="s">
        <v>30</v>
      </c>
      <c r="C87" s="218"/>
      <c r="D87" s="219"/>
      <c r="E87" s="188">
        <f t="shared" si="2"/>
        <v>0</v>
      </c>
      <c r="F87" s="15"/>
      <c r="G87" s="4"/>
    </row>
    <row r="88" spans="1:7" ht="13.5" thickBot="1" x14ac:dyDescent="0.25">
      <c r="A88" s="12" t="s">
        <v>23</v>
      </c>
      <c r="B88" s="13" t="s">
        <v>24</v>
      </c>
      <c r="C88" s="189">
        <f>E22</f>
        <v>0</v>
      </c>
      <c r="D88" s="188">
        <f>SUM(E82:E87)</f>
        <v>0</v>
      </c>
      <c r="E88" s="14">
        <f>C88*D88</f>
        <v>0</v>
      </c>
      <c r="F88" s="15"/>
      <c r="G88" s="4"/>
    </row>
    <row r="89" spans="1:7" ht="13.5" thickBot="1" x14ac:dyDescent="0.25">
      <c r="A89" s="8"/>
      <c r="B89" s="8"/>
      <c r="C89" s="256" t="s">
        <v>25</v>
      </c>
      <c r="D89" s="256"/>
      <c r="E89" s="148">
        <f>$B$26</f>
        <v>0</v>
      </c>
      <c r="F89" s="16">
        <f>E88*E89</f>
        <v>0</v>
      </c>
      <c r="G89" s="4"/>
    </row>
    <row r="90" spans="1:7" ht="11.25" customHeight="1" x14ac:dyDescent="0.2">
      <c r="G90" s="4"/>
    </row>
    <row r="91" spans="1:7" x14ac:dyDescent="0.2">
      <c r="A91" s="19" t="s">
        <v>46</v>
      </c>
      <c r="B91" s="20"/>
      <c r="C91" s="20"/>
      <c r="D91" s="21"/>
      <c r="E91" s="22"/>
      <c r="F91" s="16">
        <f>F89</f>
        <v>0</v>
      </c>
      <c r="G91" s="4"/>
    </row>
    <row r="92" spans="1:7" ht="11.25" customHeight="1" x14ac:dyDescent="0.2">
      <c r="G92" s="4"/>
    </row>
    <row r="93" spans="1:7" ht="11.25" customHeight="1" thickBot="1" x14ac:dyDescent="0.25"/>
    <row r="94" spans="1:7" ht="17.25" customHeight="1" thickBot="1" x14ac:dyDescent="0.25">
      <c r="A94" s="19" t="s">
        <v>47</v>
      </c>
      <c r="B94" s="23"/>
      <c r="C94" s="23"/>
      <c r="D94" s="24"/>
      <c r="E94" s="25"/>
      <c r="F94" s="17">
        <f>F58+F77+F91</f>
        <v>0</v>
      </c>
    </row>
    <row r="95" spans="1:7" ht="17.25" customHeight="1" x14ac:dyDescent="0.2">
      <c r="A95" s="190"/>
      <c r="B95" s="191"/>
      <c r="C95" s="191"/>
      <c r="D95" s="192"/>
      <c r="E95" s="192"/>
      <c r="F95" s="194"/>
    </row>
    <row r="96" spans="1:7" ht="11.25" customHeight="1" x14ac:dyDescent="0.2"/>
    <row r="97" spans="1:7" x14ac:dyDescent="0.2">
      <c r="A97" s="8" t="s">
        <v>165</v>
      </c>
    </row>
    <row r="98" spans="1:7" ht="11.25" customHeight="1" x14ac:dyDescent="0.2"/>
    <row r="99" spans="1:7" x14ac:dyDescent="0.2">
      <c r="A99" s="39" t="s">
        <v>12</v>
      </c>
      <c r="B99" s="40" t="s">
        <v>13</v>
      </c>
      <c r="C99" s="40" t="s">
        <v>8</v>
      </c>
      <c r="D99" s="41" t="s">
        <v>14</v>
      </c>
      <c r="E99" s="41" t="s">
        <v>15</v>
      </c>
      <c r="F99" s="42" t="s">
        <v>16</v>
      </c>
    </row>
    <row r="100" spans="1:7" x14ac:dyDescent="0.2">
      <c r="A100" s="9" t="s">
        <v>48</v>
      </c>
      <c r="B100" s="10" t="s">
        <v>5</v>
      </c>
      <c r="C100" s="78">
        <f>'5.BDI'!C17*100</f>
        <v>0</v>
      </c>
      <c r="D100" s="11">
        <f>F94</f>
        <v>0</v>
      </c>
      <c r="E100" s="11">
        <f>C100*D100/100</f>
        <v>0</v>
      </c>
    </row>
    <row r="101" spans="1:7" x14ac:dyDescent="0.2">
      <c r="F101" s="16">
        <f>E100</f>
        <v>0</v>
      </c>
    </row>
    <row r="102" spans="1:7" ht="11.25" customHeight="1" x14ac:dyDescent="0.2"/>
    <row r="103" spans="1:7" x14ac:dyDescent="0.2">
      <c r="A103" s="19" t="s">
        <v>49</v>
      </c>
      <c r="B103" s="23"/>
      <c r="C103" s="23"/>
      <c r="D103" s="24"/>
      <c r="E103" s="25"/>
      <c r="F103" s="17">
        <f>F101</f>
        <v>0</v>
      </c>
    </row>
    <row r="104" spans="1:7" x14ac:dyDescent="0.2">
      <c r="A104" s="8"/>
      <c r="B104" s="8"/>
      <c r="C104" s="8"/>
      <c r="D104" s="18"/>
      <c r="E104" s="18"/>
      <c r="F104" s="26"/>
    </row>
    <row r="105" spans="1:7" ht="11.25" customHeight="1" thickBot="1" x14ac:dyDescent="0.25"/>
    <row r="106" spans="1:7" ht="24.75" customHeight="1" thickBot="1" x14ac:dyDescent="0.25">
      <c r="A106" s="223" t="s">
        <v>50</v>
      </c>
      <c r="B106" s="224"/>
      <c r="C106" s="224"/>
      <c r="D106" s="225"/>
      <c r="E106" s="226"/>
      <c r="F106" s="227">
        <f>F94+F103</f>
        <v>0</v>
      </c>
    </row>
    <row r="107" spans="1:7" ht="48.75" customHeight="1" thickBot="1" x14ac:dyDescent="0.25">
      <c r="A107" s="232" t="s">
        <v>175</v>
      </c>
      <c r="B107" s="233"/>
      <c r="C107" s="233"/>
      <c r="D107" s="234"/>
      <c r="E107" s="235"/>
      <c r="F107" s="236">
        <v>8125.5</v>
      </c>
    </row>
    <row r="108" spans="1:7" ht="24.75" customHeight="1" thickBot="1" x14ac:dyDescent="0.25">
      <c r="A108" s="228" t="s">
        <v>174</v>
      </c>
      <c r="B108" s="229"/>
      <c r="C108" s="229"/>
      <c r="D108" s="230"/>
      <c r="E108" s="231"/>
      <c r="F108" s="236">
        <f>F107*20</f>
        <v>162510</v>
      </c>
    </row>
    <row r="109" spans="1:7" ht="25.5" customHeight="1" thickBot="1" x14ac:dyDescent="0.25">
      <c r="A109" s="253" t="s">
        <v>169</v>
      </c>
      <c r="B109" s="254"/>
      <c r="C109" s="254"/>
      <c r="D109" s="254"/>
      <c r="E109" s="255"/>
      <c r="F109" s="239">
        <f>F106/F108</f>
        <v>0</v>
      </c>
      <c r="G109" s="213"/>
    </row>
    <row r="118" spans="9:9" x14ac:dyDescent="0.2">
      <c r="I118" s="209"/>
    </row>
    <row r="120" spans="9:9" x14ac:dyDescent="0.2">
      <c r="I120" s="209"/>
    </row>
    <row r="122" spans="9:9" x14ac:dyDescent="0.2">
      <c r="I122" s="209"/>
    </row>
    <row r="129" spans="4:7" ht="9" customHeight="1" x14ac:dyDescent="0.2">
      <c r="D129" s="4"/>
      <c r="E129" s="4"/>
      <c r="F129" s="4"/>
      <c r="G129" s="4"/>
    </row>
  </sheetData>
  <mergeCells count="13">
    <mergeCell ref="A109:E109"/>
    <mergeCell ref="C89:D89"/>
    <mergeCell ref="C56:D56"/>
    <mergeCell ref="C74:D74"/>
    <mergeCell ref="A21:D21"/>
    <mergeCell ref="A3:F3"/>
    <mergeCell ref="A4:F4"/>
    <mergeCell ref="A6:F6"/>
    <mergeCell ref="A13:C13"/>
    <mergeCell ref="A20:E20"/>
    <mergeCell ref="E17:F17"/>
    <mergeCell ref="A17:B17"/>
    <mergeCell ref="A16:B16"/>
  </mergeCells>
  <printOptions gridLines="1"/>
  <pageMargins left="0.90555600000000003" right="0.51180599999999998" top="0.74791700000000005" bottom="0.74791700000000005" header="0.315278" footer="0.315278"/>
  <pageSetup paperSize="9" scale="69" fitToHeight="2" orientation="portrait" r:id="rId1"/>
  <headerFooter>
    <oddFooter>&amp;R&amp;P de &amp;N</oddFooter>
  </headerFooter>
  <rowBreaks count="2" manualBreakCount="2">
    <brk id="27" man="1"/>
    <brk id="40" man="1"/>
  </rowBreaks>
  <legacyDrawing r:id="rId2"/>
  <extLst>
    <ext uri="smNativeData">
      <pm:sheetPrefs xmlns:pm="smNativeData" day="16184907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BA145-86BC-41B1-B63B-4942A66B8D8A}">
  <sheetPr>
    <pageSetUpPr fitToPage="1"/>
  </sheetPr>
  <dimension ref="A1:I128"/>
  <sheetViews>
    <sheetView tabSelected="1" zoomScale="70" zoomScaleNormal="70" workbookViewId="0">
      <selection activeCell="D43" sqref="D43"/>
    </sheetView>
  </sheetViews>
  <sheetFormatPr defaultRowHeight="12.75" x14ac:dyDescent="0.2"/>
  <cols>
    <col min="1" max="1" width="44.5703125" style="4" customWidth="1"/>
    <col min="2" max="2" width="16" style="4" customWidth="1"/>
    <col min="3" max="3" width="11.85546875" style="4" customWidth="1"/>
    <col min="4" max="4" width="14.7109375" style="6" customWidth="1"/>
    <col min="5" max="5" width="15.42578125" style="6" customWidth="1"/>
    <col min="6" max="6" width="13.28515625" style="6" customWidth="1"/>
    <col min="7" max="7" width="28.140625" style="6" customWidth="1"/>
    <col min="8" max="8" width="9.140625" style="4" customWidth="1"/>
    <col min="9" max="9" width="14.5703125" style="4" customWidth="1"/>
    <col min="10" max="10" width="13.42578125" style="4" customWidth="1"/>
    <col min="11" max="11" width="9.140625" style="4" customWidth="1"/>
    <col min="12" max="16384" width="9.140625" style="4"/>
  </cols>
  <sheetData>
    <row r="1" spans="1:7" ht="15.75" x14ac:dyDescent="0.2">
      <c r="A1" s="37"/>
    </row>
    <row r="2" spans="1:7" ht="16.5" customHeight="1" thickBot="1" x14ac:dyDescent="0.25">
      <c r="B2" s="5"/>
      <c r="C2" s="5"/>
    </row>
    <row r="3" spans="1:7" s="7" customFormat="1" ht="18" x14ac:dyDescent="0.2">
      <c r="A3" s="240" t="s">
        <v>182</v>
      </c>
      <c r="B3" s="241"/>
      <c r="C3" s="241"/>
      <c r="D3" s="241"/>
      <c r="E3" s="241"/>
      <c r="F3" s="242"/>
      <c r="G3" s="27"/>
    </row>
    <row r="4" spans="1:7" s="7" customFormat="1" ht="21.75" customHeight="1" x14ac:dyDescent="0.2">
      <c r="A4" s="243" t="s">
        <v>1</v>
      </c>
      <c r="B4" s="244"/>
      <c r="C4" s="244"/>
      <c r="D4" s="244"/>
      <c r="E4" s="244"/>
      <c r="F4" s="245"/>
      <c r="G4" s="27"/>
    </row>
    <row r="5" spans="1:7" ht="10.9" customHeight="1" thickBot="1" x14ac:dyDescent="0.25">
      <c r="A5" s="82"/>
      <c r="B5" s="5"/>
      <c r="C5" s="5"/>
      <c r="F5" s="75"/>
    </row>
    <row r="6" spans="1:7" ht="15.75" customHeight="1" thickBot="1" x14ac:dyDescent="0.25">
      <c r="A6" s="246" t="s">
        <v>2</v>
      </c>
      <c r="B6" s="247"/>
      <c r="C6" s="247"/>
      <c r="D6" s="247"/>
      <c r="E6" s="247"/>
      <c r="F6" s="248"/>
    </row>
    <row r="7" spans="1:7" ht="15.75" customHeight="1" x14ac:dyDescent="0.2">
      <c r="A7" s="43" t="s">
        <v>3</v>
      </c>
      <c r="B7" s="30"/>
      <c r="C7" s="30"/>
      <c r="D7" s="151"/>
      <c r="E7" s="62" t="s">
        <v>4</v>
      </c>
      <c r="F7" s="31" t="s">
        <v>5</v>
      </c>
    </row>
    <row r="8" spans="1:7" s="8" customFormat="1" ht="15.75" customHeight="1" x14ac:dyDescent="0.2">
      <c r="A8" s="69" t="str">
        <f>A28</f>
        <v>1. Mão-de-obra</v>
      </c>
      <c r="B8" s="70"/>
      <c r="C8" s="71"/>
      <c r="D8" s="71"/>
      <c r="E8" s="149">
        <f>F58</f>
        <v>0</v>
      </c>
      <c r="F8" s="72">
        <f t="shared" ref="F8:F15" si="0">IFERROR(E8/$E$16,0)</f>
        <v>0</v>
      </c>
      <c r="G8" s="18"/>
    </row>
    <row r="9" spans="1:7" ht="15.75" customHeight="1" x14ac:dyDescent="0.2">
      <c r="A9" s="35" t="str">
        <f>A30</f>
        <v>1.1. Capinador Turno Dia</v>
      </c>
      <c r="B9" s="32"/>
      <c r="C9" s="33"/>
      <c r="D9" s="33"/>
      <c r="E9" s="150">
        <f>F38</f>
        <v>0</v>
      </c>
      <c r="F9" s="38">
        <f t="shared" si="0"/>
        <v>0</v>
      </c>
    </row>
    <row r="10" spans="1:7" ht="15.75" customHeight="1" x14ac:dyDescent="0.2">
      <c r="A10" s="35" t="str">
        <f>A41</f>
        <v>1.2. Vale Transporte</v>
      </c>
      <c r="B10" s="32"/>
      <c r="C10" s="33"/>
      <c r="D10" s="33"/>
      <c r="E10" s="150">
        <f>F46</f>
        <v>0</v>
      </c>
      <c r="F10" s="38">
        <f t="shared" si="0"/>
        <v>0</v>
      </c>
    </row>
    <row r="11" spans="1:7" ht="15.75" customHeight="1" x14ac:dyDescent="0.2">
      <c r="A11" s="35" t="str">
        <f>A48</f>
        <v>1.3. Vale-refeição (diário)</v>
      </c>
      <c r="B11" s="32"/>
      <c r="C11" s="33"/>
      <c r="D11" s="33"/>
      <c r="E11" s="150">
        <f>F51</f>
        <v>0</v>
      </c>
      <c r="F11" s="38">
        <f t="shared" si="0"/>
        <v>0</v>
      </c>
    </row>
    <row r="12" spans="1:7" ht="15.75" customHeight="1" x14ac:dyDescent="0.2">
      <c r="A12" s="35" t="str">
        <f>A53</f>
        <v>1.4. Auxílio Alimentação (mensal)</v>
      </c>
      <c r="B12" s="32"/>
      <c r="C12" s="33"/>
      <c r="D12" s="33"/>
      <c r="E12" s="150">
        <f>F56</f>
        <v>0</v>
      </c>
      <c r="F12" s="38">
        <f t="shared" si="0"/>
        <v>0</v>
      </c>
    </row>
    <row r="13" spans="1:7" s="8" customFormat="1" ht="15.75" customHeight="1" x14ac:dyDescent="0.2">
      <c r="A13" s="249" t="str">
        <f>A60</f>
        <v>2. Uniformes e Equipamentos de Proteção Individual</v>
      </c>
      <c r="B13" s="250"/>
      <c r="C13" s="250"/>
      <c r="D13" s="71"/>
      <c r="E13" s="149">
        <f>F77</f>
        <v>0</v>
      </c>
      <c r="F13" s="72">
        <f t="shared" si="0"/>
        <v>0</v>
      </c>
      <c r="G13" s="18"/>
    </row>
    <row r="14" spans="1:7" s="8" customFormat="1" ht="15.75" customHeight="1" x14ac:dyDescent="0.2">
      <c r="A14" s="204" t="str">
        <f>A79</f>
        <v>3. Ferramentas e Materiais de Consumo</v>
      </c>
      <c r="B14" s="77"/>
      <c r="C14" s="71"/>
      <c r="D14" s="71"/>
      <c r="E14" s="149">
        <f>F91</f>
        <v>0</v>
      </c>
      <c r="F14" s="72">
        <f t="shared" si="0"/>
        <v>0</v>
      </c>
      <c r="G14" s="18"/>
    </row>
    <row r="15" spans="1:7" s="8" customFormat="1" ht="15.75" customHeight="1" thickBot="1" x14ac:dyDescent="0.25">
      <c r="A15" s="195" t="str">
        <f>A97</f>
        <v>4. Benefícios e Despesas Indiretas - BDI</v>
      </c>
      <c r="B15" s="196"/>
      <c r="C15" s="197"/>
      <c r="D15" s="197"/>
      <c r="E15" s="198">
        <f>F103</f>
        <v>0</v>
      </c>
      <c r="F15" s="199">
        <f t="shared" si="0"/>
        <v>0</v>
      </c>
      <c r="G15" s="18"/>
    </row>
    <row r="16" spans="1:7" ht="26.25" customHeight="1" thickBot="1" x14ac:dyDescent="0.25">
      <c r="A16" s="251" t="s">
        <v>166</v>
      </c>
      <c r="B16" s="252"/>
      <c r="C16" s="200"/>
      <c r="D16" s="200"/>
      <c r="E16" s="206">
        <f>E8+E13+E14+E15</f>
        <v>0</v>
      </c>
      <c r="F16" s="207">
        <f>(F8+F13+F14+F15)</f>
        <v>0</v>
      </c>
    </row>
    <row r="17" spans="1:7" ht="26.25" customHeight="1" thickBot="1" x14ac:dyDescent="0.25">
      <c r="A17" s="251" t="str">
        <f>A108</f>
        <v>PREÇO UNITÁRIO POR METRO VARRIDO (R$/m)</v>
      </c>
      <c r="B17" s="252"/>
      <c r="C17" s="200"/>
      <c r="D17" s="200"/>
      <c r="E17" s="276">
        <f>F108</f>
        <v>0</v>
      </c>
      <c r="F17" s="277"/>
    </row>
    <row r="20" spans="1:7" ht="15" customHeight="1" thickBot="1" x14ac:dyDescent="0.25">
      <c r="A20" s="246" t="s">
        <v>6</v>
      </c>
      <c r="B20" s="247"/>
      <c r="C20" s="247"/>
      <c r="D20" s="247"/>
      <c r="E20" s="248"/>
    </row>
    <row r="21" spans="1:7" ht="15" customHeight="1" thickBot="1" x14ac:dyDescent="0.25">
      <c r="A21" s="257" t="s">
        <v>7</v>
      </c>
      <c r="B21" s="258"/>
      <c r="C21" s="258"/>
      <c r="D21" s="259"/>
      <c r="E21" s="34" t="s">
        <v>8</v>
      </c>
    </row>
    <row r="22" spans="1:7" ht="15" customHeight="1" x14ac:dyDescent="0.2">
      <c r="A22" s="47" t="str">
        <f>A30</f>
        <v>1.1. Capinador Turno Dia</v>
      </c>
      <c r="B22" s="30"/>
      <c r="C22" s="30"/>
      <c r="D22" s="48"/>
      <c r="E22" s="49">
        <f>C37</f>
        <v>0</v>
      </c>
    </row>
    <row r="23" spans="1:7" ht="15" customHeight="1" thickBot="1" x14ac:dyDescent="0.25">
      <c r="A23" s="45" t="s">
        <v>9</v>
      </c>
      <c r="B23" s="46"/>
      <c r="C23" s="46"/>
      <c r="D23" s="50"/>
      <c r="E23" s="51">
        <f>SUM(E22:E22)</f>
        <v>0</v>
      </c>
    </row>
    <row r="24" spans="1:7" ht="15" customHeight="1" x14ac:dyDescent="0.2">
      <c r="A24" s="73"/>
      <c r="B24" s="74"/>
      <c r="C24" s="6"/>
      <c r="E24" s="75"/>
    </row>
    <row r="25" spans="1:7" ht="13.5" thickBot="1" x14ac:dyDescent="0.25">
      <c r="A25" s="6"/>
      <c r="B25" s="6"/>
      <c r="C25" s="6"/>
      <c r="D25" s="4"/>
      <c r="E25" s="44"/>
      <c r="F25" s="4"/>
    </row>
    <row r="26" spans="1:7" s="8" customFormat="1" ht="15.75" customHeight="1" thickBot="1" x14ac:dyDescent="0.25">
      <c r="A26" s="152" t="s">
        <v>10</v>
      </c>
      <c r="B26" s="153"/>
      <c r="C26" s="18"/>
      <c r="E26" s="164"/>
      <c r="G26" s="18"/>
    </row>
    <row r="27" spans="1:7" ht="15.75" customHeight="1" x14ac:dyDescent="0.2">
      <c r="A27" s="6"/>
      <c r="B27" s="6"/>
      <c r="C27" s="6"/>
      <c r="D27" s="4"/>
      <c r="E27" s="44"/>
      <c r="F27" s="4"/>
    </row>
    <row r="28" spans="1:7" ht="13.15" customHeight="1" x14ac:dyDescent="0.2">
      <c r="A28" s="8" t="s">
        <v>11</v>
      </c>
    </row>
    <row r="29" spans="1:7" ht="11.25" customHeight="1" x14ac:dyDescent="0.2"/>
    <row r="30" spans="1:7" ht="13.9" customHeight="1" thickBot="1" x14ac:dyDescent="0.25">
      <c r="A30" s="4" t="s">
        <v>172</v>
      </c>
    </row>
    <row r="31" spans="1:7" ht="13.9" customHeight="1" thickBot="1" x14ac:dyDescent="0.25">
      <c r="A31" s="39" t="s">
        <v>12</v>
      </c>
      <c r="B31" s="40" t="s">
        <v>13</v>
      </c>
      <c r="C31" s="40" t="s">
        <v>8</v>
      </c>
      <c r="D31" s="41" t="s">
        <v>14</v>
      </c>
      <c r="E31" s="41" t="s">
        <v>15</v>
      </c>
      <c r="F31" s="42" t="s">
        <v>16</v>
      </c>
    </row>
    <row r="32" spans="1:7" ht="13.15" customHeight="1" x14ac:dyDescent="0.2">
      <c r="A32" s="9" t="s">
        <v>17</v>
      </c>
      <c r="B32" s="10" t="s">
        <v>18</v>
      </c>
      <c r="C32" s="10">
        <v>1</v>
      </c>
      <c r="D32" s="53"/>
      <c r="E32" s="11">
        <f>C32*D32</f>
        <v>0</v>
      </c>
    </row>
    <row r="33" spans="1:7" x14ac:dyDescent="0.2">
      <c r="A33" s="12" t="s">
        <v>20</v>
      </c>
      <c r="B33" s="13" t="s">
        <v>5</v>
      </c>
      <c r="C33" s="13">
        <v>20</v>
      </c>
      <c r="D33" s="14">
        <f>SUM(E32:E32)</f>
        <v>0</v>
      </c>
      <c r="E33" s="14">
        <f>C33*D33/100</f>
        <v>0</v>
      </c>
    </row>
    <row r="34" spans="1:7" x14ac:dyDescent="0.2">
      <c r="A34" s="63" t="s">
        <v>21</v>
      </c>
      <c r="B34" s="205"/>
      <c r="C34" s="205"/>
      <c r="D34" s="26"/>
      <c r="E34" s="65">
        <f>SUM(E32:E33)</f>
        <v>0</v>
      </c>
    </row>
    <row r="35" spans="1:7" x14ac:dyDescent="0.2">
      <c r="A35" s="12" t="s">
        <v>22</v>
      </c>
      <c r="B35" s="13" t="s">
        <v>5</v>
      </c>
      <c r="C35" s="78">
        <f>'3.Encargos Sociais'!$C$32*100</f>
        <v>70.595951999999997</v>
      </c>
      <c r="D35" s="14">
        <f>E34</f>
        <v>0</v>
      </c>
      <c r="E35" s="14">
        <f>D35*C35/100</f>
        <v>0</v>
      </c>
    </row>
    <row r="36" spans="1:7" x14ac:dyDescent="0.2">
      <c r="A36" s="63" t="s">
        <v>156</v>
      </c>
      <c r="B36" s="205"/>
      <c r="C36" s="205"/>
      <c r="D36" s="26"/>
      <c r="E36" s="65">
        <f>E34+E35</f>
        <v>0</v>
      </c>
    </row>
    <row r="37" spans="1:7" ht="13.5" thickBot="1" x14ac:dyDescent="0.25">
      <c r="A37" s="12" t="s">
        <v>23</v>
      </c>
      <c r="B37" s="13" t="s">
        <v>24</v>
      </c>
      <c r="C37" s="52"/>
      <c r="D37" s="14">
        <f>E36</f>
        <v>0</v>
      </c>
      <c r="E37" s="14">
        <f>C37*D37</f>
        <v>0</v>
      </c>
    </row>
    <row r="38" spans="1:7" ht="13.9" customHeight="1" thickBot="1" x14ac:dyDescent="0.25">
      <c r="D38" s="67" t="s">
        <v>25</v>
      </c>
      <c r="E38" s="36">
        <f>$B$26</f>
        <v>0</v>
      </c>
      <c r="F38" s="68">
        <f>E37*E38</f>
        <v>0</v>
      </c>
    </row>
    <row r="39" spans="1:7" ht="11.25" customHeight="1" x14ac:dyDescent="0.2"/>
    <row r="40" spans="1:7" ht="11.25" customHeight="1" x14ac:dyDescent="0.2">
      <c r="G40" s="4"/>
    </row>
    <row r="41" spans="1:7" ht="13.5" thickBot="1" x14ac:dyDescent="0.25">
      <c r="A41" s="4" t="s">
        <v>159</v>
      </c>
      <c r="B41" s="57"/>
      <c r="D41" s="4"/>
      <c r="E41" s="4"/>
      <c r="G41" s="4"/>
    </row>
    <row r="42" spans="1:7" ht="13.5" thickBot="1" x14ac:dyDescent="0.25">
      <c r="A42" s="39" t="s">
        <v>12</v>
      </c>
      <c r="B42" s="40" t="s">
        <v>13</v>
      </c>
      <c r="C42" s="40" t="s">
        <v>8</v>
      </c>
      <c r="D42" s="41" t="s">
        <v>14</v>
      </c>
      <c r="E42" s="41" t="s">
        <v>15</v>
      </c>
      <c r="F42" s="42" t="s">
        <v>16</v>
      </c>
      <c r="G42" s="4"/>
    </row>
    <row r="43" spans="1:7" x14ac:dyDescent="0.2">
      <c r="A43" s="12" t="s">
        <v>26</v>
      </c>
      <c r="B43" s="13" t="s">
        <v>19</v>
      </c>
      <c r="C43" s="58">
        <v>1</v>
      </c>
      <c r="D43" s="56"/>
      <c r="E43" s="14"/>
      <c r="G43"/>
    </row>
    <row r="44" spans="1:7" x14ac:dyDescent="0.2">
      <c r="A44" s="12" t="s">
        <v>27</v>
      </c>
      <c r="B44" s="13" t="s">
        <v>28</v>
      </c>
      <c r="C44" s="55"/>
      <c r="D44" s="14"/>
      <c r="E44" s="14"/>
      <c r="G44" s="4"/>
    </row>
    <row r="45" spans="1:7" ht="13.5" thickBot="1" x14ac:dyDescent="0.25">
      <c r="A45" s="12" t="s">
        <v>173</v>
      </c>
      <c r="B45" s="13" t="s">
        <v>29</v>
      </c>
      <c r="C45" s="28">
        <f>$C$44*2*(C37)</f>
        <v>0</v>
      </c>
      <c r="D45" s="11" t="str">
        <f>IFERROR((($C$44*2*$D$43)-(E32*0.06*C44/26))/($C$44*2),"-")</f>
        <v>-</v>
      </c>
      <c r="E45" s="14" t="str">
        <f>IFERROR(C45*D45,"-")</f>
        <v>-</v>
      </c>
      <c r="G45" s="4"/>
    </row>
    <row r="46" spans="1:7" ht="13.5" thickBot="1" x14ac:dyDescent="0.25">
      <c r="F46" s="17">
        <f>SUM(E45:E45)</f>
        <v>0</v>
      </c>
      <c r="G46" s="4"/>
    </row>
    <row r="47" spans="1:7" ht="11.25" customHeight="1" x14ac:dyDescent="0.2">
      <c r="G47" s="4"/>
    </row>
    <row r="48" spans="1:7" ht="13.5" thickBot="1" x14ac:dyDescent="0.25">
      <c r="A48" s="4" t="s">
        <v>160</v>
      </c>
      <c r="F48" s="18"/>
      <c r="G48" s="4"/>
    </row>
    <row r="49" spans="1:7" ht="13.5" thickBot="1" x14ac:dyDescent="0.25">
      <c r="A49" s="39" t="s">
        <v>12</v>
      </c>
      <c r="B49" s="40" t="s">
        <v>13</v>
      </c>
      <c r="C49" s="40" t="s">
        <v>8</v>
      </c>
      <c r="D49" s="41" t="s">
        <v>14</v>
      </c>
      <c r="E49" s="41" t="s">
        <v>15</v>
      </c>
      <c r="F49" s="42" t="s">
        <v>16</v>
      </c>
      <c r="G49" s="4"/>
    </row>
    <row r="50" spans="1:7" ht="13.5" thickBot="1" x14ac:dyDescent="0.25">
      <c r="A50" s="12" t="str">
        <f>A45</f>
        <v>Capinador</v>
      </c>
      <c r="B50" s="13" t="s">
        <v>30</v>
      </c>
      <c r="C50" s="28">
        <f>C44*(E22)</f>
        <v>0</v>
      </c>
      <c r="D50" s="54"/>
      <c r="E50" s="36">
        <f>C50*D50</f>
        <v>0</v>
      </c>
      <c r="F50" s="18"/>
      <c r="G50" s="166"/>
    </row>
    <row r="51" spans="1:7" ht="13.5" thickBot="1" x14ac:dyDescent="0.25">
      <c r="F51" s="17">
        <f>SUM(E50:E50)</f>
        <v>0</v>
      </c>
      <c r="G51" s="167"/>
    </row>
    <row r="52" spans="1:7" x14ac:dyDescent="0.2">
      <c r="G52" s="167"/>
    </row>
    <row r="53" spans="1:7" ht="13.5" thickBot="1" x14ac:dyDescent="0.25">
      <c r="A53" s="4" t="s">
        <v>161</v>
      </c>
      <c r="F53" s="18"/>
      <c r="G53" s="167"/>
    </row>
    <row r="54" spans="1:7" ht="13.5" thickBot="1" x14ac:dyDescent="0.25">
      <c r="A54" s="39" t="s">
        <v>12</v>
      </c>
      <c r="B54" s="40" t="s">
        <v>13</v>
      </c>
      <c r="C54" s="40" t="s">
        <v>8</v>
      </c>
      <c r="D54" s="41" t="s">
        <v>14</v>
      </c>
      <c r="E54" s="41" t="s">
        <v>15</v>
      </c>
      <c r="F54" s="42" t="s">
        <v>16</v>
      </c>
      <c r="G54" s="167"/>
    </row>
    <row r="55" spans="1:7" ht="13.5" thickBot="1" x14ac:dyDescent="0.25">
      <c r="A55" s="12" t="str">
        <f>A50</f>
        <v>Capinador</v>
      </c>
      <c r="B55" s="13" t="s">
        <v>30</v>
      </c>
      <c r="C55" s="28">
        <f>E22</f>
        <v>0</v>
      </c>
      <c r="D55" s="54">
        <v>0</v>
      </c>
      <c r="E55" s="36">
        <f>C55*D55</f>
        <v>0</v>
      </c>
      <c r="F55" s="18"/>
      <c r="G55" s="166"/>
    </row>
    <row r="56" spans="1:7" ht="13.5" thickBot="1" x14ac:dyDescent="0.25">
      <c r="C56" s="256" t="s">
        <v>25</v>
      </c>
      <c r="D56" s="256"/>
      <c r="E56" s="148">
        <f>$B$26</f>
        <v>0</v>
      </c>
      <c r="F56" s="17">
        <f>SUM(E55:E55)*E56</f>
        <v>0</v>
      </c>
      <c r="G56" s="4"/>
    </row>
    <row r="57" spans="1:7" ht="13.5" thickBot="1" x14ac:dyDescent="0.25">
      <c r="G57" s="4"/>
    </row>
    <row r="58" spans="1:7" ht="13.5" thickBot="1" x14ac:dyDescent="0.25">
      <c r="A58" s="19" t="s">
        <v>31</v>
      </c>
      <c r="B58" s="20"/>
      <c r="C58" s="20"/>
      <c r="D58" s="21"/>
      <c r="E58" s="22"/>
      <c r="F58" s="17">
        <f>F56+F51+F46+F38</f>
        <v>0</v>
      </c>
      <c r="G58" s="4"/>
    </row>
    <row r="60" spans="1:7" x14ac:dyDescent="0.2">
      <c r="A60" s="8" t="s">
        <v>32</v>
      </c>
      <c r="G60" s="4"/>
    </row>
    <row r="61" spans="1:7" ht="11.25" customHeight="1" x14ac:dyDescent="0.2">
      <c r="G61" s="4"/>
    </row>
    <row r="62" spans="1:7" ht="13.9" customHeight="1" x14ac:dyDescent="0.2">
      <c r="A62" s="4" t="s">
        <v>158</v>
      </c>
      <c r="G62" s="4"/>
    </row>
    <row r="63" spans="1:7" ht="11.25" customHeight="1" thickBot="1" x14ac:dyDescent="0.25">
      <c r="G63" s="4"/>
    </row>
    <row r="64" spans="1:7" ht="27.75" customHeight="1" thickBot="1" x14ac:dyDescent="0.25">
      <c r="A64" s="39" t="s">
        <v>12</v>
      </c>
      <c r="B64" s="40" t="s">
        <v>13</v>
      </c>
      <c r="C64" s="157" t="s">
        <v>33</v>
      </c>
      <c r="D64" s="41" t="s">
        <v>14</v>
      </c>
      <c r="E64" s="41" t="s">
        <v>15</v>
      </c>
      <c r="F64" s="42" t="s">
        <v>16</v>
      </c>
      <c r="G64" s="4"/>
    </row>
    <row r="65" spans="1:7" ht="13.15" customHeight="1" x14ac:dyDescent="0.2">
      <c r="A65" s="12" t="s">
        <v>34</v>
      </c>
      <c r="B65" s="13" t="s">
        <v>30</v>
      </c>
      <c r="C65" s="165"/>
      <c r="D65" s="53"/>
      <c r="E65" s="11">
        <f t="shared" ref="E65:E72" si="1">IFERROR(D65/C65,0)</f>
        <v>0</v>
      </c>
      <c r="G65" s="4"/>
    </row>
    <row r="66" spans="1:7" x14ac:dyDescent="0.2">
      <c r="A66" s="12" t="s">
        <v>35</v>
      </c>
      <c r="B66" s="13" t="s">
        <v>30</v>
      </c>
      <c r="C66" s="165"/>
      <c r="D66" s="53"/>
      <c r="E66" s="11">
        <f t="shared" si="1"/>
        <v>0</v>
      </c>
      <c r="G66" s="4"/>
    </row>
    <row r="67" spans="1:7" ht="13.9" customHeight="1" x14ac:dyDescent="0.2">
      <c r="A67" s="12" t="s">
        <v>36</v>
      </c>
      <c r="B67" s="13" t="s">
        <v>37</v>
      </c>
      <c r="C67" s="165"/>
      <c r="D67" s="53"/>
      <c r="E67" s="11">
        <f t="shared" si="1"/>
        <v>0</v>
      </c>
      <c r="G67" s="4"/>
    </row>
    <row r="68" spans="1:7" ht="13.15" customHeight="1" x14ac:dyDescent="0.2">
      <c r="A68" s="201" t="s">
        <v>38</v>
      </c>
      <c r="B68" s="13" t="s">
        <v>37</v>
      </c>
      <c r="C68" s="165"/>
      <c r="D68" s="53"/>
      <c r="E68" s="11">
        <f t="shared" si="1"/>
        <v>0</v>
      </c>
    </row>
    <row r="69" spans="1:7" x14ac:dyDescent="0.2">
      <c r="A69" s="2" t="s">
        <v>39</v>
      </c>
      <c r="B69" s="3" t="s">
        <v>30</v>
      </c>
      <c r="C69" s="165"/>
      <c r="D69" s="53"/>
      <c r="E69" s="11">
        <f t="shared" si="1"/>
        <v>0</v>
      </c>
      <c r="F69" s="1"/>
      <c r="G69" s="1"/>
    </row>
    <row r="70" spans="1:7" x14ac:dyDescent="0.2">
      <c r="A70" s="12" t="s">
        <v>40</v>
      </c>
      <c r="B70" s="13" t="s">
        <v>37</v>
      </c>
      <c r="C70" s="165"/>
      <c r="D70" s="53"/>
      <c r="E70" s="11">
        <f t="shared" si="1"/>
        <v>0</v>
      </c>
    </row>
    <row r="71" spans="1:7" x14ac:dyDescent="0.2">
      <c r="A71" s="193" t="s">
        <v>179</v>
      </c>
      <c r="B71" s="212" t="s">
        <v>30</v>
      </c>
      <c r="C71" s="202"/>
      <c r="D71" s="53"/>
      <c r="E71" s="11">
        <f t="shared" si="1"/>
        <v>0</v>
      </c>
    </row>
    <row r="72" spans="1:7" ht="13.15" customHeight="1" x14ac:dyDescent="0.2">
      <c r="A72" s="12" t="s">
        <v>41</v>
      </c>
      <c r="B72" s="13" t="s">
        <v>42</v>
      </c>
      <c r="C72" s="165"/>
      <c r="D72" s="53"/>
      <c r="E72" s="11">
        <f t="shared" si="1"/>
        <v>0</v>
      </c>
    </row>
    <row r="73" spans="1:7" ht="13.5" thickBot="1" x14ac:dyDescent="0.25">
      <c r="A73" s="12" t="s">
        <v>23</v>
      </c>
      <c r="B73" s="13" t="s">
        <v>24</v>
      </c>
      <c r="C73" s="189">
        <f>E22</f>
        <v>0</v>
      </c>
      <c r="D73" s="188">
        <f>SUM(E65:E72)</f>
        <v>0</v>
      </c>
      <c r="E73" s="14">
        <f>C73*D73</f>
        <v>0</v>
      </c>
    </row>
    <row r="74" spans="1:7" ht="13.5" thickBot="1" x14ac:dyDescent="0.25">
      <c r="C74" s="256" t="s">
        <v>25</v>
      </c>
      <c r="D74" s="256"/>
      <c r="E74" s="148">
        <f>$B$26</f>
        <v>0</v>
      </c>
      <c r="F74" s="68">
        <f>E73*E74</f>
        <v>0</v>
      </c>
    </row>
    <row r="75" spans="1:7" ht="11.25" customHeight="1" x14ac:dyDescent="0.2"/>
    <row r="76" spans="1:7" ht="11.25" customHeight="1" thickBot="1" x14ac:dyDescent="0.25">
      <c r="G76" s="172"/>
    </row>
    <row r="77" spans="1:7" ht="13.5" thickBot="1" x14ac:dyDescent="0.25">
      <c r="A77" s="19" t="s">
        <v>43</v>
      </c>
      <c r="B77" s="23"/>
      <c r="C77" s="23"/>
      <c r="D77" s="24"/>
      <c r="E77" s="25"/>
      <c r="F77" s="16">
        <f>F74</f>
        <v>0</v>
      </c>
      <c r="G77" s="172"/>
    </row>
    <row r="78" spans="1:7" ht="11.25" customHeight="1" x14ac:dyDescent="0.2">
      <c r="G78" s="4"/>
    </row>
    <row r="79" spans="1:7" x14ac:dyDescent="0.2">
      <c r="A79" s="8" t="s">
        <v>162</v>
      </c>
      <c r="B79" s="8"/>
      <c r="C79" s="8"/>
      <c r="D79" s="18"/>
      <c r="E79" s="18"/>
      <c r="F79" s="26"/>
      <c r="G79" s="4"/>
    </row>
    <row r="80" spans="1:7" ht="11.25" customHeight="1" thickBot="1" x14ac:dyDescent="0.25">
      <c r="G80" s="4"/>
    </row>
    <row r="81" spans="1:7" ht="24.75" thickBot="1" x14ac:dyDescent="0.25">
      <c r="A81" s="39" t="s">
        <v>12</v>
      </c>
      <c r="B81" s="40" t="s">
        <v>13</v>
      </c>
      <c r="C81" s="157" t="s">
        <v>33</v>
      </c>
      <c r="D81" s="41" t="s">
        <v>14</v>
      </c>
      <c r="E81" s="41" t="s">
        <v>15</v>
      </c>
      <c r="F81" s="42" t="s">
        <v>16</v>
      </c>
      <c r="G81" s="4"/>
    </row>
    <row r="82" spans="1:7" x14ac:dyDescent="0.2">
      <c r="A82" s="12" t="s">
        <v>44</v>
      </c>
      <c r="B82" s="13" t="s">
        <v>30</v>
      </c>
      <c r="C82" s="165"/>
      <c r="D82" s="53"/>
      <c r="E82" s="14">
        <f t="shared" ref="E82:E85" si="2">IFERROR(D82/C82,0)</f>
        <v>0</v>
      </c>
      <c r="F82" s="15"/>
      <c r="G82" s="4"/>
    </row>
    <row r="83" spans="1:7" x14ac:dyDescent="0.2">
      <c r="A83" s="193" t="s">
        <v>178</v>
      </c>
      <c r="B83" s="13" t="s">
        <v>164</v>
      </c>
      <c r="C83" s="59"/>
      <c r="D83" s="53"/>
      <c r="E83" s="14">
        <f>IFERROR(D83/C83,0)</f>
        <v>0</v>
      </c>
      <c r="F83" s="15"/>
      <c r="G83" s="4"/>
    </row>
    <row r="84" spans="1:7" x14ac:dyDescent="0.2">
      <c r="A84" s="12" t="s">
        <v>167</v>
      </c>
      <c r="B84" s="13" t="s">
        <v>30</v>
      </c>
      <c r="C84" s="165"/>
      <c r="D84" s="53"/>
      <c r="E84" s="14">
        <f t="shared" si="2"/>
        <v>0</v>
      </c>
      <c r="F84" s="15"/>
      <c r="G84" s="4"/>
    </row>
    <row r="85" spans="1:7" x14ac:dyDescent="0.2">
      <c r="A85" s="193" t="s">
        <v>163</v>
      </c>
      <c r="B85" s="13" t="s">
        <v>30</v>
      </c>
      <c r="C85" s="202"/>
      <c r="D85" s="53"/>
      <c r="E85" s="14">
        <f t="shared" si="2"/>
        <v>0</v>
      </c>
      <c r="F85" s="15"/>
      <c r="G85" s="4"/>
    </row>
    <row r="86" spans="1:7" x14ac:dyDescent="0.2">
      <c r="A86" s="193" t="s">
        <v>171</v>
      </c>
      <c r="B86" s="212" t="s">
        <v>30</v>
      </c>
      <c r="C86" s="202"/>
      <c r="D86" s="53"/>
      <c r="E86" s="14">
        <f t="shared" ref="E86:E87" si="3">IFERROR(D86/C86,0)</f>
        <v>0</v>
      </c>
      <c r="F86" s="15"/>
      <c r="G86" s="4"/>
    </row>
    <row r="87" spans="1:7" x14ac:dyDescent="0.2">
      <c r="A87" s="12" t="s">
        <v>45</v>
      </c>
      <c r="B87" s="13" t="s">
        <v>30</v>
      </c>
      <c r="C87" s="165"/>
      <c r="D87" s="53"/>
      <c r="E87" s="14">
        <f t="shared" si="3"/>
        <v>0</v>
      </c>
      <c r="F87" s="15"/>
      <c r="G87" s="4"/>
    </row>
    <row r="88" spans="1:7" ht="13.5" thickBot="1" x14ac:dyDescent="0.25">
      <c r="A88" s="12" t="s">
        <v>23</v>
      </c>
      <c r="B88" s="13" t="s">
        <v>24</v>
      </c>
      <c r="C88" s="189">
        <f>E22</f>
        <v>0</v>
      </c>
      <c r="D88" s="188">
        <f>SUM(E82:E87)</f>
        <v>0</v>
      </c>
      <c r="E88" s="14">
        <f>C88*D88</f>
        <v>0</v>
      </c>
      <c r="F88" s="15"/>
      <c r="G88" s="4"/>
    </row>
    <row r="89" spans="1:7" ht="13.5" thickBot="1" x14ac:dyDescent="0.25">
      <c r="A89" s="8"/>
      <c r="B89" s="8"/>
      <c r="C89" s="256" t="s">
        <v>25</v>
      </c>
      <c r="D89" s="256"/>
      <c r="E89" s="148">
        <f>$B$26</f>
        <v>0</v>
      </c>
      <c r="F89" s="16">
        <f>E88*E89</f>
        <v>0</v>
      </c>
      <c r="G89" s="4"/>
    </row>
    <row r="90" spans="1:7" ht="11.25" customHeight="1" thickBot="1" x14ac:dyDescent="0.25">
      <c r="G90" s="4"/>
    </row>
    <row r="91" spans="1:7" ht="13.5" thickBot="1" x14ac:dyDescent="0.25">
      <c r="A91" s="19" t="s">
        <v>46</v>
      </c>
      <c r="B91" s="20"/>
      <c r="C91" s="20"/>
      <c r="D91" s="21"/>
      <c r="E91" s="22"/>
      <c r="F91" s="16">
        <f>F89</f>
        <v>0</v>
      </c>
      <c r="G91" s="4"/>
    </row>
    <row r="92" spans="1:7" ht="11.25" customHeight="1" x14ac:dyDescent="0.2">
      <c r="G92" s="4"/>
    </row>
    <row r="93" spans="1:7" ht="11.25" customHeight="1" thickBot="1" x14ac:dyDescent="0.25"/>
    <row r="94" spans="1:7" ht="17.25" customHeight="1" thickBot="1" x14ac:dyDescent="0.25">
      <c r="A94" s="19" t="s">
        <v>47</v>
      </c>
      <c r="B94" s="23"/>
      <c r="C94" s="23"/>
      <c r="D94" s="24"/>
      <c r="E94" s="25"/>
      <c r="F94" s="17">
        <f>F58+F77+F91</f>
        <v>0</v>
      </c>
    </row>
    <row r="95" spans="1:7" ht="17.25" customHeight="1" x14ac:dyDescent="0.2">
      <c r="A95" s="190"/>
      <c r="B95" s="191"/>
      <c r="C95" s="191"/>
      <c r="D95" s="192"/>
      <c r="E95" s="192"/>
      <c r="F95" s="194"/>
    </row>
    <row r="96" spans="1:7" ht="11.25" customHeight="1" x14ac:dyDescent="0.2"/>
    <row r="97" spans="1:9" x14ac:dyDescent="0.2">
      <c r="A97" s="8" t="s">
        <v>165</v>
      </c>
    </row>
    <row r="98" spans="1:9" ht="11.25" customHeight="1" thickBot="1" x14ac:dyDescent="0.25"/>
    <row r="99" spans="1:9" s="6" customFormat="1" ht="13.5" thickBot="1" x14ac:dyDescent="0.25">
      <c r="A99" s="39" t="s">
        <v>12</v>
      </c>
      <c r="B99" s="40" t="s">
        <v>13</v>
      </c>
      <c r="C99" s="40" t="s">
        <v>8</v>
      </c>
      <c r="D99" s="41" t="s">
        <v>14</v>
      </c>
      <c r="E99" s="41" t="s">
        <v>15</v>
      </c>
      <c r="F99" s="42" t="s">
        <v>16</v>
      </c>
      <c r="H99" s="4"/>
      <c r="I99" s="4"/>
    </row>
    <row r="100" spans="1:9" s="6" customFormat="1" ht="13.5" thickBot="1" x14ac:dyDescent="0.25">
      <c r="A100" s="9" t="s">
        <v>48</v>
      </c>
      <c r="B100" s="10" t="s">
        <v>5</v>
      </c>
      <c r="C100" s="78">
        <f>'5.BDI'!C17*100</f>
        <v>0</v>
      </c>
      <c r="D100" s="11">
        <f>F94</f>
        <v>0</v>
      </c>
      <c r="E100" s="11">
        <f>C100*D100/100</f>
        <v>0</v>
      </c>
      <c r="H100" s="4"/>
      <c r="I100" s="4"/>
    </row>
    <row r="101" spans="1:9" s="6" customFormat="1" ht="13.5" thickBot="1" x14ac:dyDescent="0.25">
      <c r="A101" s="4"/>
      <c r="B101" s="4"/>
      <c r="C101" s="4"/>
      <c r="F101" s="16">
        <f>E100</f>
        <v>0</v>
      </c>
      <c r="H101" s="4"/>
      <c r="I101" s="4"/>
    </row>
    <row r="102" spans="1:9" s="6" customFormat="1" ht="11.25" customHeight="1" thickBot="1" x14ac:dyDescent="0.25">
      <c r="A102" s="4"/>
      <c r="B102" s="4"/>
      <c r="C102" s="4"/>
      <c r="H102" s="4"/>
      <c r="I102" s="4"/>
    </row>
    <row r="103" spans="1:9" s="6" customFormat="1" ht="13.5" thickBot="1" x14ac:dyDescent="0.25">
      <c r="A103" s="19" t="s">
        <v>49</v>
      </c>
      <c r="B103" s="23"/>
      <c r="C103" s="23"/>
      <c r="D103" s="24"/>
      <c r="E103" s="25"/>
      <c r="F103" s="17">
        <f>F101</f>
        <v>0</v>
      </c>
      <c r="H103" s="4"/>
      <c r="I103" s="4"/>
    </row>
    <row r="104" spans="1:9" s="6" customFormat="1" x14ac:dyDescent="0.2">
      <c r="A104" s="8"/>
      <c r="B104" s="8"/>
      <c r="C104" s="8"/>
      <c r="D104" s="18"/>
      <c r="E104" s="18"/>
      <c r="F104" s="26"/>
      <c r="H104" s="4"/>
      <c r="I104" s="4"/>
    </row>
    <row r="105" spans="1:9" s="6" customFormat="1" ht="11.25" customHeight="1" thickBot="1" x14ac:dyDescent="0.25">
      <c r="A105" s="4"/>
      <c r="B105" s="4"/>
      <c r="C105" s="4"/>
      <c r="H105" s="4"/>
      <c r="I105" s="4"/>
    </row>
    <row r="106" spans="1:9" s="6" customFormat="1" ht="24.75" customHeight="1" thickBot="1" x14ac:dyDescent="0.25">
      <c r="A106" s="19" t="s">
        <v>50</v>
      </c>
      <c r="B106" s="23"/>
      <c r="C106" s="23"/>
      <c r="D106" s="24"/>
      <c r="E106" s="25"/>
      <c r="F106" s="17">
        <f>F94+F103</f>
        <v>0</v>
      </c>
      <c r="H106" s="4"/>
      <c r="I106" s="4"/>
    </row>
    <row r="107" spans="1:9" s="6" customFormat="1" ht="17.25" customHeight="1" thickBot="1" x14ac:dyDescent="0.25">
      <c r="A107" s="210" t="s">
        <v>170</v>
      </c>
      <c r="B107" s="37"/>
      <c r="C107" s="37"/>
      <c r="D107" s="29"/>
      <c r="E107" s="29"/>
      <c r="F107" s="29">
        <v>2968</v>
      </c>
      <c r="H107" s="4"/>
      <c r="I107" s="4"/>
    </row>
    <row r="108" spans="1:9" s="6" customFormat="1" ht="13.5" thickBot="1" x14ac:dyDescent="0.25">
      <c r="A108" s="19" t="s">
        <v>169</v>
      </c>
      <c r="B108" s="23"/>
      <c r="C108" s="23"/>
      <c r="D108" s="24"/>
      <c r="E108" s="25"/>
      <c r="F108" s="278">
        <f>F106/F107</f>
        <v>0</v>
      </c>
      <c r="H108" s="4"/>
      <c r="I108" s="4"/>
    </row>
    <row r="114" spans="4:9" x14ac:dyDescent="0.2">
      <c r="I114" s="214">
        <f>F106+'1. Varrição total'!F106</f>
        <v>0</v>
      </c>
    </row>
    <row r="117" spans="4:9" x14ac:dyDescent="0.2">
      <c r="I117" s="209"/>
    </row>
    <row r="119" spans="4:9" x14ac:dyDescent="0.2">
      <c r="I119" s="209"/>
    </row>
    <row r="121" spans="4:9" x14ac:dyDescent="0.2">
      <c r="I121" s="209"/>
    </row>
    <row r="128" spans="4:9" ht="9" customHeight="1" x14ac:dyDescent="0.2">
      <c r="D128" s="4"/>
      <c r="E128" s="4"/>
      <c r="F128" s="4"/>
      <c r="G128" s="4"/>
    </row>
  </sheetData>
  <mergeCells count="12">
    <mergeCell ref="C89:D89"/>
    <mergeCell ref="A20:E20"/>
    <mergeCell ref="A21:D21"/>
    <mergeCell ref="C56:D56"/>
    <mergeCell ref="C74:D74"/>
    <mergeCell ref="A17:B17"/>
    <mergeCell ref="E17:F17"/>
    <mergeCell ref="A3:F3"/>
    <mergeCell ref="A4:F4"/>
    <mergeCell ref="A6:F6"/>
    <mergeCell ref="A13:C13"/>
    <mergeCell ref="A16:B16"/>
  </mergeCells>
  <pageMargins left="0.90555600000000003" right="0.51180599999999998" top="0.74791700000000005" bottom="0.74791700000000005" header="0.315278" footer="0.315278"/>
  <pageSetup paperSize="9" scale="75" fitToHeight="2" orientation="portrait" r:id="rId1"/>
  <headerFooter>
    <oddFooter>&amp;R&amp;P de &amp;N</oddFooter>
  </headerFooter>
  <rowBreaks count="2" manualBreakCount="2">
    <brk id="27" man="1"/>
    <brk id="4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54"/>
  <sheetViews>
    <sheetView topLeftCell="A19" workbookViewId="0">
      <selection activeCell="A2" sqref="A2:C32"/>
    </sheetView>
  </sheetViews>
  <sheetFormatPr defaultRowHeight="12.75" x14ac:dyDescent="0.2"/>
  <cols>
    <col min="1" max="1" width="13.5703125" customWidth="1"/>
    <col min="2" max="2" width="39.5703125" customWidth="1"/>
    <col min="3" max="3" width="14.5703125" customWidth="1"/>
    <col min="4" max="4" width="37.28515625" customWidth="1"/>
    <col min="5" max="10" width="9.140625" customWidth="1"/>
    <col min="11" max="11" width="11" customWidth="1"/>
    <col min="12" max="12" width="9.140625" customWidth="1"/>
  </cols>
  <sheetData>
    <row r="2" spans="1:6" ht="18" x14ac:dyDescent="0.2">
      <c r="A2" s="260" t="s">
        <v>51</v>
      </c>
      <c r="B2" s="261"/>
      <c r="C2" s="262"/>
      <c r="D2" s="81"/>
      <c r="E2" s="81"/>
      <c r="F2" s="81"/>
    </row>
    <row r="3" spans="1:6" ht="14.25" x14ac:dyDescent="0.2">
      <c r="A3" s="88" t="s">
        <v>52</v>
      </c>
      <c r="B3" s="89" t="s">
        <v>53</v>
      </c>
      <c r="C3" s="90" t="s">
        <v>54</v>
      </c>
      <c r="D3" s="91"/>
    </row>
    <row r="4" spans="1:6" ht="14.25" x14ac:dyDescent="0.2">
      <c r="A4" s="88" t="s">
        <v>55</v>
      </c>
      <c r="B4" s="89" t="s">
        <v>56</v>
      </c>
      <c r="C4" s="92">
        <v>0.2</v>
      </c>
      <c r="D4" s="91"/>
    </row>
    <row r="5" spans="1:6" ht="14.25" x14ac:dyDescent="0.2">
      <c r="A5" s="88" t="s">
        <v>57</v>
      </c>
      <c r="B5" s="89" t="s">
        <v>58</v>
      </c>
      <c r="C5" s="92">
        <v>1.4999999999999999E-2</v>
      </c>
      <c r="D5" s="92"/>
    </row>
    <row r="6" spans="1:6" ht="14.25" x14ac:dyDescent="0.2">
      <c r="A6" s="88" t="s">
        <v>59</v>
      </c>
      <c r="B6" s="89" t="s">
        <v>60</v>
      </c>
      <c r="C6" s="92">
        <v>0.01</v>
      </c>
      <c r="D6" s="92"/>
    </row>
    <row r="7" spans="1:6" ht="14.25" x14ac:dyDescent="0.2">
      <c r="A7" s="88" t="s">
        <v>61</v>
      </c>
      <c r="B7" s="89" t="s">
        <v>62</v>
      </c>
      <c r="C7" s="92">
        <v>2E-3</v>
      </c>
      <c r="D7" s="92"/>
    </row>
    <row r="8" spans="1:6" ht="14.25" x14ac:dyDescent="0.2">
      <c r="A8" s="88" t="s">
        <v>63</v>
      </c>
      <c r="B8" s="89" t="s">
        <v>64</v>
      </c>
      <c r="C8" s="92">
        <v>6.0000000000000001E-3</v>
      </c>
      <c r="D8" s="92"/>
    </row>
    <row r="9" spans="1:6" ht="14.25" x14ac:dyDescent="0.2">
      <c r="A9" s="88" t="s">
        <v>65</v>
      </c>
      <c r="B9" s="89" t="s">
        <v>66</v>
      </c>
      <c r="C9" s="92">
        <v>2.5000000000000001E-2</v>
      </c>
      <c r="D9" s="91"/>
    </row>
    <row r="10" spans="1:6" ht="14.25" x14ac:dyDescent="0.2">
      <c r="A10" s="88" t="s">
        <v>67</v>
      </c>
      <c r="B10" s="89" t="s">
        <v>68</v>
      </c>
      <c r="C10" s="92">
        <v>0.03</v>
      </c>
      <c r="D10" s="91"/>
    </row>
    <row r="11" spans="1:6" ht="14.25" x14ac:dyDescent="0.2">
      <c r="A11" s="88" t="s">
        <v>69</v>
      </c>
      <c r="B11" s="89" t="s">
        <v>70</v>
      </c>
      <c r="C11" s="92">
        <v>0.08</v>
      </c>
      <c r="D11" s="91"/>
    </row>
    <row r="12" spans="1:6" ht="15" x14ac:dyDescent="0.2">
      <c r="A12" s="88" t="s">
        <v>71</v>
      </c>
      <c r="B12" s="93" t="s">
        <v>72</v>
      </c>
      <c r="C12" s="94">
        <f>SUM(C4:C11)</f>
        <v>0.36800000000000005</v>
      </c>
      <c r="D12" s="91"/>
    </row>
    <row r="13" spans="1:6" ht="15" x14ac:dyDescent="0.2">
      <c r="A13" s="95"/>
      <c r="B13" s="96"/>
      <c r="C13" s="97"/>
      <c r="D13" s="91"/>
    </row>
    <row r="14" spans="1:6" ht="14.25" x14ac:dyDescent="0.2">
      <c r="A14" s="88" t="s">
        <v>73</v>
      </c>
      <c r="B14" s="89" t="s">
        <v>74</v>
      </c>
      <c r="C14" s="92">
        <f>ROUND(IF('4.CAGED'!C25&gt;24,(1-12/'4.CAGED'!C25)*0.1111,0.1111-C23),4)</f>
        <v>6.1899999999999997E-2</v>
      </c>
      <c r="D14" s="91"/>
    </row>
    <row r="15" spans="1:6" ht="14.25" x14ac:dyDescent="0.2">
      <c r="A15" s="88" t="s">
        <v>75</v>
      </c>
      <c r="B15" s="89" t="s">
        <v>76</v>
      </c>
      <c r="C15" s="92">
        <f>ROUND('4.CAGED'!C29/'4.CAGED'!C26,4)</f>
        <v>8.3299999999999999E-2</v>
      </c>
      <c r="D15" s="91"/>
    </row>
    <row r="16" spans="1:6" ht="14.25" x14ac:dyDescent="0.2">
      <c r="A16" s="88" t="s">
        <v>77</v>
      </c>
      <c r="B16" s="89" t="s">
        <v>78</v>
      </c>
      <c r="C16" s="92">
        <v>5.9999999999999984E-4</v>
      </c>
      <c r="D16" s="91"/>
    </row>
    <row r="17" spans="1:8" ht="14.25" x14ac:dyDescent="0.2">
      <c r="A17" s="88" t="s">
        <v>79</v>
      </c>
      <c r="B17" s="89" t="s">
        <v>80</v>
      </c>
      <c r="C17" s="92">
        <v>8.2000000000000007E-3</v>
      </c>
      <c r="D17" s="91"/>
    </row>
    <row r="18" spans="1:8" ht="14.25" x14ac:dyDescent="0.2">
      <c r="A18" s="88" t="s">
        <v>81</v>
      </c>
      <c r="B18" s="89" t="s">
        <v>82</v>
      </c>
      <c r="C18" s="92">
        <v>3.0999999999999999E-3</v>
      </c>
      <c r="D18" s="91"/>
    </row>
    <row r="19" spans="1:8" ht="14.25" x14ac:dyDescent="0.2">
      <c r="A19" s="88" t="s">
        <v>83</v>
      </c>
      <c r="B19" s="89" t="s">
        <v>84</v>
      </c>
      <c r="C19" s="92">
        <v>1.66E-2</v>
      </c>
      <c r="D19" s="91"/>
    </row>
    <row r="20" spans="1:8" ht="15" x14ac:dyDescent="0.2">
      <c r="A20" s="88" t="s">
        <v>85</v>
      </c>
      <c r="B20" s="93" t="s">
        <v>86</v>
      </c>
      <c r="C20" s="94">
        <f>SUM(C14:C19)</f>
        <v>0.17369999999999999</v>
      </c>
      <c r="D20" s="98"/>
    </row>
    <row r="21" spans="1:8" ht="15" x14ac:dyDescent="0.2">
      <c r="A21" s="95"/>
      <c r="B21" s="96"/>
      <c r="C21" s="97"/>
      <c r="D21" s="98"/>
    </row>
    <row r="22" spans="1:8" ht="14.25" x14ac:dyDescent="0.2">
      <c r="A22" s="88" t="s">
        <v>87</v>
      </c>
      <c r="B22" s="89" t="s">
        <v>88</v>
      </c>
      <c r="C22" s="170">
        <f>ROUND(('4.CAGED'!C30)*('4.CAGED'!C23/'4.CAGED'!C26),4)</f>
        <v>2.5600000000000001E-2</v>
      </c>
      <c r="D22" s="171"/>
      <c r="E22" s="99"/>
    </row>
    <row r="23" spans="1:8" ht="14.25" x14ac:dyDescent="0.2">
      <c r="A23" s="88" t="s">
        <v>89</v>
      </c>
      <c r="B23" s="89" t="s">
        <v>90</v>
      </c>
      <c r="C23" s="92">
        <f>ROUND(IF('4.CAGED'!C25&gt;12,12/'4.CAGED'!C25*0.1111,0.1111),4)</f>
        <v>4.9200000000000001E-2</v>
      </c>
      <c r="D23" s="91"/>
      <c r="H23" s="100"/>
    </row>
    <row r="24" spans="1:8" ht="14.25" x14ac:dyDescent="0.2">
      <c r="A24" s="88" t="s">
        <v>91</v>
      </c>
      <c r="B24" s="89" t="s">
        <v>92</v>
      </c>
      <c r="C24" s="92">
        <f>C22*C23</f>
        <v>1.2595200000000001E-3</v>
      </c>
      <c r="D24" s="91"/>
      <c r="E24" s="99"/>
    </row>
    <row r="25" spans="1:8" ht="14.25" x14ac:dyDescent="0.2">
      <c r="A25" s="88" t="s">
        <v>93</v>
      </c>
      <c r="B25" s="89" t="s">
        <v>94</v>
      </c>
      <c r="C25" s="92">
        <f>ROUND(('4.CAGED'!C26+'4.CAGED'!C27+'4.CAGED'!C29)/'4.CAGED'!C24*'4.CAGED'!C31*'4.CAGED'!C32*'4.CAGED'!C23/'4.CAGED'!C26,4)</f>
        <v>2.0500000000000001E-2</v>
      </c>
      <c r="D25" s="91"/>
      <c r="G25" s="99"/>
    </row>
    <row r="26" spans="1:8" ht="14.25" x14ac:dyDescent="0.2">
      <c r="A26" s="88" t="s">
        <v>95</v>
      </c>
      <c r="B26" s="89" t="s">
        <v>96</v>
      </c>
      <c r="C26" s="92">
        <f>ROUND(('4.CAGED'!C28/'4.CAGED'!C26)*'4.CAGED'!C23/12,4)</f>
        <v>1.8E-3</v>
      </c>
      <c r="D26" s="91"/>
    </row>
    <row r="27" spans="1:8" ht="15" x14ac:dyDescent="0.2">
      <c r="A27" s="88" t="s">
        <v>97</v>
      </c>
      <c r="B27" s="93" t="s">
        <v>98</v>
      </c>
      <c r="C27" s="94">
        <f>SUM(C22:C26)</f>
        <v>9.8359520000000006E-2</v>
      </c>
      <c r="D27" s="98"/>
    </row>
    <row r="28" spans="1:8" ht="15" x14ac:dyDescent="0.2">
      <c r="A28" s="95"/>
      <c r="B28" s="96"/>
      <c r="C28" s="97"/>
      <c r="D28" s="98"/>
    </row>
    <row r="29" spans="1:8" ht="14.25" x14ac:dyDescent="0.2">
      <c r="A29" s="88" t="s">
        <v>99</v>
      </c>
      <c r="B29" s="89" t="s">
        <v>100</v>
      </c>
      <c r="C29" s="92">
        <f>ROUND(C12*C20,4)</f>
        <v>6.3899999999999998E-2</v>
      </c>
      <c r="D29" s="91"/>
    </row>
    <row r="30" spans="1:8" ht="28.5" x14ac:dyDescent="0.2">
      <c r="A30" s="88" t="s">
        <v>101</v>
      </c>
      <c r="B30" s="101" t="s">
        <v>102</v>
      </c>
      <c r="C30" s="92">
        <f>ROUND((C22*C11),4)</f>
        <v>2E-3</v>
      </c>
      <c r="D30" s="91"/>
    </row>
    <row r="31" spans="1:8" ht="15" x14ac:dyDescent="0.2">
      <c r="A31" s="88" t="s">
        <v>103</v>
      </c>
      <c r="B31" s="93" t="s">
        <v>104</v>
      </c>
      <c r="C31" s="94">
        <f>SUM(C29:C30)</f>
        <v>6.59E-2</v>
      </c>
      <c r="D31" s="98"/>
    </row>
    <row r="32" spans="1:8" ht="15" x14ac:dyDescent="0.2">
      <c r="A32" s="102"/>
      <c r="B32" s="103" t="s">
        <v>105</v>
      </c>
      <c r="C32" s="104">
        <f>C31+C27+C20+C12</f>
        <v>0.70595951999999995</v>
      </c>
      <c r="D32" s="98"/>
    </row>
    <row r="33" spans="1:4" ht="15" x14ac:dyDescent="0.2">
      <c r="A33" s="91"/>
      <c r="B33" s="105"/>
      <c r="C33" s="106"/>
      <c r="D33" s="107"/>
    </row>
    <row r="34" spans="1:4" ht="14.25" x14ac:dyDescent="0.2">
      <c r="A34" s="91"/>
      <c r="B34" s="91"/>
      <c r="C34" s="108"/>
      <c r="D34" s="109"/>
    </row>
    <row r="35" spans="1:4" ht="14.25" x14ac:dyDescent="0.2">
      <c r="A35" s="91"/>
      <c r="B35" s="91"/>
      <c r="C35" s="108"/>
      <c r="D35" s="91"/>
    </row>
    <row r="36" spans="1:4" ht="14.25" x14ac:dyDescent="0.2">
      <c r="A36" s="91"/>
      <c r="B36" s="91"/>
      <c r="C36" s="108"/>
      <c r="D36" s="91"/>
    </row>
    <row r="37" spans="1:4" ht="14.25" x14ac:dyDescent="0.2">
      <c r="A37" s="91"/>
      <c r="B37" s="91"/>
      <c r="C37" s="108"/>
      <c r="D37" s="91"/>
    </row>
    <row r="38" spans="1:4" ht="15" x14ac:dyDescent="0.2">
      <c r="A38" s="91"/>
      <c r="B38" s="105"/>
      <c r="C38" s="106"/>
      <c r="D38" s="91"/>
    </row>
    <row r="39" spans="1:4" ht="15" x14ac:dyDescent="0.2">
      <c r="A39" s="98"/>
      <c r="B39" s="105"/>
      <c r="C39" s="106"/>
      <c r="D39" s="98"/>
    </row>
    <row r="40" spans="1:4" ht="16.5" x14ac:dyDescent="0.2">
      <c r="A40" s="110"/>
    </row>
    <row r="41" spans="1:4" x14ac:dyDescent="0.2">
      <c r="A41" s="111"/>
    </row>
    <row r="42" spans="1:4" ht="14.25" x14ac:dyDescent="0.2">
      <c r="A42" s="91"/>
      <c r="B42" s="112"/>
    </row>
    <row r="43" spans="1:4" ht="14.25" x14ac:dyDescent="0.2">
      <c r="A43" s="91"/>
      <c r="B43" s="112"/>
      <c r="C43" s="91"/>
    </row>
    <row r="44" spans="1:4" ht="14.25" x14ac:dyDescent="0.2">
      <c r="A44" s="91"/>
      <c r="B44" s="108"/>
    </row>
    <row r="45" spans="1:4" ht="14.25" x14ac:dyDescent="0.2">
      <c r="A45" s="91"/>
      <c r="B45" s="112"/>
      <c r="C45" s="91"/>
    </row>
    <row r="46" spans="1:4" ht="14.25" x14ac:dyDescent="0.2">
      <c r="A46" s="91"/>
      <c r="B46" s="108"/>
    </row>
    <row r="47" spans="1:4" ht="14.25" x14ac:dyDescent="0.2">
      <c r="A47" s="91"/>
      <c r="B47" s="112"/>
      <c r="C47" s="91"/>
    </row>
    <row r="48" spans="1:4" ht="14.25" x14ac:dyDescent="0.2">
      <c r="A48" s="91"/>
      <c r="B48" s="108"/>
    </row>
    <row r="49" spans="1:3" ht="14.25" x14ac:dyDescent="0.2">
      <c r="A49" s="91"/>
      <c r="B49" s="112"/>
      <c r="C49" s="91"/>
    </row>
    <row r="50" spans="1:3" ht="14.25" x14ac:dyDescent="0.2">
      <c r="A50" s="91"/>
      <c r="B50" s="108"/>
    </row>
    <row r="51" spans="1:3" ht="16.5" x14ac:dyDescent="0.2">
      <c r="A51" s="110"/>
    </row>
    <row r="54" spans="1:3" x14ac:dyDescent="0.2">
      <c r="A54" s="60"/>
    </row>
  </sheetData>
  <mergeCells count="1">
    <mergeCell ref="A2:C2"/>
  </mergeCells>
  <pageMargins left="0.90555600000000003" right="0.51180599999999998" top="0.74791700000000005" bottom="0.74791700000000005" header="0.315278" footer="0.315278"/>
  <pageSetup paperSize="9" fitToWidth="0" orientation="portrait" r:id="rId1"/>
  <extLst>
    <ext uri="smNativeData">
      <pm:sheetPrefs xmlns:pm="smNativeData" day="16184907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2"/>
  <sheetViews>
    <sheetView topLeftCell="A16" workbookViewId="0">
      <selection activeCell="E7" sqref="E7"/>
    </sheetView>
  </sheetViews>
  <sheetFormatPr defaultRowHeight="12.75" x14ac:dyDescent="0.2"/>
  <cols>
    <col min="1" max="1" width="8.5703125" customWidth="1"/>
    <col min="2" max="2" width="58.7109375" customWidth="1"/>
    <col min="3" max="3" width="13.7109375" customWidth="1"/>
    <col min="4" max="4" width="10.28515625" customWidth="1"/>
    <col min="5" max="5" width="13.7109375" customWidth="1"/>
    <col min="6" max="6" width="9.140625" customWidth="1"/>
  </cols>
  <sheetData>
    <row r="1" spans="1:10" x14ac:dyDescent="0.2">
      <c r="A1" s="267" t="s">
        <v>106</v>
      </c>
      <c r="B1" s="267"/>
      <c r="C1" s="267"/>
      <c r="D1" s="267"/>
    </row>
    <row r="2" spans="1:10" x14ac:dyDescent="0.2">
      <c r="A2" s="265" t="s">
        <v>154</v>
      </c>
      <c r="B2" s="266"/>
      <c r="C2" s="266"/>
    </row>
    <row r="3" spans="1:10" ht="18.75" customHeight="1" thickBot="1" x14ac:dyDescent="0.25">
      <c r="A3" s="266"/>
      <c r="B3" s="266"/>
      <c r="C3" s="266"/>
    </row>
    <row r="4" spans="1:10" ht="18" x14ac:dyDescent="0.25">
      <c r="B4" s="263" t="s">
        <v>107</v>
      </c>
      <c r="C4" s="264"/>
      <c r="F4" s="211"/>
      <c r="G4" s="211"/>
      <c r="H4" s="211"/>
      <c r="I4" s="211"/>
      <c r="J4" s="211"/>
    </row>
    <row r="5" spans="1:10" ht="15" x14ac:dyDescent="0.25">
      <c r="B5" s="83" t="s">
        <v>108</v>
      </c>
      <c r="C5" s="179"/>
      <c r="F5" s="211"/>
      <c r="G5" s="211"/>
      <c r="H5" s="211"/>
      <c r="I5" s="211"/>
      <c r="J5" s="211"/>
    </row>
    <row r="6" spans="1:10" ht="15" x14ac:dyDescent="0.25">
      <c r="B6" s="177" t="s">
        <v>109</v>
      </c>
      <c r="C6" s="181">
        <v>2100</v>
      </c>
      <c r="D6" s="175"/>
      <c r="E6" s="173"/>
      <c r="F6" s="238"/>
      <c r="G6" s="238"/>
      <c r="H6" s="175"/>
      <c r="I6" s="238"/>
      <c r="J6" s="238"/>
    </row>
    <row r="7" spans="1:10" ht="15" x14ac:dyDescent="0.25">
      <c r="B7" s="83" t="s">
        <v>110</v>
      </c>
      <c r="C7" s="181">
        <v>2031</v>
      </c>
      <c r="D7" s="175"/>
      <c r="E7" s="173"/>
      <c r="F7" s="238"/>
      <c r="G7" s="238"/>
      <c r="H7" s="175"/>
      <c r="I7" s="238"/>
      <c r="J7" s="238"/>
    </row>
    <row r="8" spans="1:10" ht="14.25" x14ac:dyDescent="0.2">
      <c r="B8" s="178" t="s">
        <v>111</v>
      </c>
      <c r="C8" s="182">
        <v>44</v>
      </c>
      <c r="D8" s="176"/>
      <c r="E8" s="173"/>
      <c r="F8" s="238"/>
      <c r="G8" s="238"/>
      <c r="H8" s="238"/>
      <c r="I8" s="238"/>
      <c r="J8" s="238"/>
    </row>
    <row r="9" spans="1:10" ht="14.25" x14ac:dyDescent="0.2">
      <c r="B9" s="178" t="s">
        <v>112</v>
      </c>
      <c r="C9" s="182">
        <v>1192</v>
      </c>
      <c r="D9" s="176"/>
      <c r="E9" s="173"/>
      <c r="F9" s="238"/>
      <c r="G9" s="238"/>
      <c r="H9" s="238"/>
      <c r="I9" s="238"/>
      <c r="J9" s="238"/>
    </row>
    <row r="10" spans="1:10" ht="14.25" x14ac:dyDescent="0.2">
      <c r="B10" s="178" t="s">
        <v>113</v>
      </c>
      <c r="C10" s="182">
        <v>372</v>
      </c>
      <c r="D10" s="176"/>
      <c r="E10" s="173"/>
      <c r="F10" s="238"/>
      <c r="G10" s="238"/>
      <c r="H10" s="238"/>
      <c r="I10" s="238"/>
      <c r="J10" s="238"/>
    </row>
    <row r="11" spans="1:10" ht="14.25" x14ac:dyDescent="0.2">
      <c r="B11" s="178" t="s">
        <v>114</v>
      </c>
      <c r="C11" s="182">
        <v>22</v>
      </c>
      <c r="D11" s="176"/>
      <c r="E11" s="173"/>
      <c r="F11" s="238"/>
      <c r="G11" s="238"/>
      <c r="H11" s="238"/>
      <c r="I11" s="238"/>
      <c r="J11" s="238"/>
    </row>
    <row r="12" spans="1:10" ht="14.25" x14ac:dyDescent="0.2">
      <c r="B12" s="178" t="s">
        <v>115</v>
      </c>
      <c r="C12" s="182">
        <v>350</v>
      </c>
      <c r="D12" s="176"/>
      <c r="E12" s="173"/>
      <c r="F12" s="173"/>
      <c r="G12" s="173"/>
      <c r="H12" s="173"/>
      <c r="I12" s="173"/>
      <c r="J12" s="173"/>
    </row>
    <row r="13" spans="1:10" ht="14.25" x14ac:dyDescent="0.2">
      <c r="B13" s="178" t="s">
        <v>116</v>
      </c>
      <c r="C13" s="182">
        <v>1</v>
      </c>
      <c r="D13" s="176"/>
      <c r="E13" s="173"/>
      <c r="F13" s="173"/>
      <c r="G13" s="173"/>
      <c r="H13" s="173"/>
      <c r="I13" s="173"/>
      <c r="J13" s="173"/>
    </row>
    <row r="14" spans="1:10" ht="14.25" x14ac:dyDescent="0.2">
      <c r="B14" s="178" t="s">
        <v>117</v>
      </c>
      <c r="C14" s="182">
        <v>30</v>
      </c>
      <c r="D14" s="176"/>
      <c r="E14" s="173"/>
      <c r="F14" s="173"/>
      <c r="G14" s="173"/>
      <c r="H14" s="173"/>
      <c r="I14" s="173"/>
      <c r="J14" s="173"/>
    </row>
    <row r="15" spans="1:10" ht="14.25" x14ac:dyDescent="0.2">
      <c r="B15" s="163" t="s">
        <v>118</v>
      </c>
      <c r="C15" s="183">
        <v>0</v>
      </c>
      <c r="D15" s="176"/>
      <c r="E15" s="173"/>
      <c r="F15" s="173"/>
      <c r="G15" s="173"/>
      <c r="H15" s="173"/>
      <c r="I15" s="173"/>
      <c r="J15" s="173"/>
    </row>
    <row r="16" spans="1:10" ht="14.25" x14ac:dyDescent="0.2">
      <c r="B16" s="163" t="s">
        <v>119</v>
      </c>
      <c r="C16" s="183">
        <v>0</v>
      </c>
      <c r="D16" s="176"/>
      <c r="E16" s="173"/>
      <c r="F16" s="173"/>
      <c r="G16" s="173"/>
      <c r="H16" s="173"/>
      <c r="I16" s="173"/>
      <c r="J16" s="173"/>
    </row>
    <row r="17" spans="1:10" ht="15" x14ac:dyDescent="0.25">
      <c r="A17" t="s">
        <v>120</v>
      </c>
      <c r="B17" s="83" t="s">
        <v>121</v>
      </c>
      <c r="C17" s="184"/>
      <c r="D17" s="176"/>
      <c r="E17" s="173"/>
      <c r="F17" s="173"/>
      <c r="G17" s="173"/>
      <c r="H17" s="173"/>
      <c r="I17" s="173"/>
      <c r="J17" s="173"/>
    </row>
    <row r="18" spans="1:10" ht="14.25" x14ac:dyDescent="0.2">
      <c r="B18" s="186" t="s">
        <v>152</v>
      </c>
      <c r="C18" s="185">
        <v>4625</v>
      </c>
      <c r="D18" s="176"/>
      <c r="E18" s="173"/>
      <c r="F18" s="173"/>
      <c r="G18" s="173"/>
      <c r="H18" s="173"/>
      <c r="I18" s="173"/>
      <c r="J18" s="173"/>
    </row>
    <row r="19" spans="1:10" ht="14.25" x14ac:dyDescent="0.2">
      <c r="B19" s="178" t="s">
        <v>122</v>
      </c>
      <c r="C19" s="182">
        <v>4694</v>
      </c>
      <c r="D19" s="176"/>
      <c r="E19" s="173"/>
      <c r="F19" s="173"/>
      <c r="G19" s="173"/>
      <c r="H19" s="173"/>
      <c r="I19" s="173"/>
      <c r="J19" s="173"/>
    </row>
    <row r="20" spans="1:10" ht="14.25" x14ac:dyDescent="0.2">
      <c r="B20" s="187" t="s">
        <v>153</v>
      </c>
      <c r="C20" s="180">
        <f>C6-C7</f>
        <v>69</v>
      </c>
      <c r="D20" s="173"/>
      <c r="E20" s="173"/>
      <c r="F20" s="173"/>
      <c r="G20" s="173"/>
      <c r="H20" s="173"/>
      <c r="I20" s="173"/>
      <c r="J20" s="173"/>
    </row>
    <row r="21" spans="1:10" ht="14.25" x14ac:dyDescent="0.2">
      <c r="B21" s="114"/>
      <c r="C21" s="115"/>
      <c r="D21" s="173"/>
      <c r="E21" s="173"/>
      <c r="F21" s="173"/>
      <c r="G21" s="173"/>
      <c r="H21" s="173"/>
      <c r="I21" s="173"/>
      <c r="J21" s="173"/>
    </row>
    <row r="22" spans="1:10" s="61" customFormat="1" ht="15" x14ac:dyDescent="0.25">
      <c r="B22" s="84" t="s">
        <v>123</v>
      </c>
      <c r="C22" s="86">
        <f>MEDIAN(C18,C19)</f>
        <v>4659.5</v>
      </c>
      <c r="D22" s="174"/>
      <c r="E22" s="174"/>
      <c r="F22" s="174"/>
      <c r="G22" s="174"/>
      <c r="H22" s="174"/>
      <c r="I22" s="174"/>
      <c r="J22" s="174"/>
    </row>
    <row r="23" spans="1:10" ht="15" x14ac:dyDescent="0.25">
      <c r="B23" s="85" t="s">
        <v>124</v>
      </c>
      <c r="C23" s="161">
        <f>C9/C22</f>
        <v>0.25582144006867691</v>
      </c>
      <c r="D23" s="173"/>
      <c r="E23" s="173"/>
      <c r="F23" s="173"/>
      <c r="G23" s="173"/>
      <c r="H23" s="173"/>
      <c r="I23" s="173"/>
      <c r="J23" s="173"/>
    </row>
    <row r="24" spans="1:10" ht="15" x14ac:dyDescent="0.25">
      <c r="B24" s="85" t="s">
        <v>125</v>
      </c>
      <c r="C24" s="161">
        <f>MEDIAN(C6,C7)/C22</f>
        <v>0.44328790642772831</v>
      </c>
      <c r="D24" s="173"/>
      <c r="E24" s="173"/>
      <c r="F24" s="173"/>
      <c r="G24" s="173"/>
      <c r="H24" s="173"/>
      <c r="I24" s="173"/>
      <c r="J24" s="173"/>
    </row>
    <row r="25" spans="1:10" s="61" customFormat="1" ht="15" x14ac:dyDescent="0.25">
      <c r="B25" s="85" t="s">
        <v>126</v>
      </c>
      <c r="C25" s="159">
        <f>12/C24</f>
        <v>27.070442992011618</v>
      </c>
    </row>
    <row r="26" spans="1:10" ht="15" x14ac:dyDescent="0.25">
      <c r="B26" s="85" t="s">
        <v>127</v>
      </c>
      <c r="C26" s="87">
        <v>360</v>
      </c>
    </row>
    <row r="27" spans="1:10" ht="15" x14ac:dyDescent="0.25">
      <c r="B27" s="85" t="s">
        <v>128</v>
      </c>
      <c r="C27" s="87">
        <v>10</v>
      </c>
    </row>
    <row r="28" spans="1:10" ht="15" x14ac:dyDescent="0.25">
      <c r="B28" s="84" t="s">
        <v>129</v>
      </c>
      <c r="C28" s="86">
        <v>30</v>
      </c>
    </row>
    <row r="29" spans="1:10" ht="15" x14ac:dyDescent="0.25">
      <c r="B29" s="84" t="s">
        <v>130</v>
      </c>
      <c r="C29" s="86">
        <v>30</v>
      </c>
    </row>
    <row r="30" spans="1:10" s="61" customFormat="1" ht="15" x14ac:dyDescent="0.25">
      <c r="B30" s="84" t="s">
        <v>131</v>
      </c>
      <c r="C30" s="86">
        <f>30+(3*TRUNC(1/C24))</f>
        <v>36</v>
      </c>
    </row>
    <row r="31" spans="1:10" s="61" customFormat="1" ht="15" x14ac:dyDescent="0.25">
      <c r="B31" s="85" t="s">
        <v>70</v>
      </c>
      <c r="C31" s="160">
        <v>0.08</v>
      </c>
    </row>
    <row r="32" spans="1:10" s="61" customFormat="1" ht="30.75" thickBot="1" x14ac:dyDescent="0.3">
      <c r="B32" s="237" t="s">
        <v>180</v>
      </c>
      <c r="C32" s="162">
        <v>0.4</v>
      </c>
    </row>
  </sheetData>
  <mergeCells count="3">
    <mergeCell ref="B4:C4"/>
    <mergeCell ref="A2:C3"/>
    <mergeCell ref="A1:D1"/>
  </mergeCells>
  <pageMargins left="0.90555600000000003" right="0.51180599999999998" top="0.74791700000000005" bottom="0.74791700000000005" header="0.315278" footer="0.315278"/>
  <pageSetup paperSize="9" scale="58" orientation="portrait" r:id="rId1"/>
  <extLst>
    <ext uri="smNativeData">
      <pm:sheetPrefs xmlns:pm="smNativeData" day="16184907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topLeftCell="A4" workbookViewId="0">
      <selection activeCell="I11" sqref="I11"/>
    </sheetView>
  </sheetViews>
  <sheetFormatPr defaultRowHeight="12.75" x14ac:dyDescent="0.2"/>
  <cols>
    <col min="1" max="1" width="41.85546875" customWidth="1"/>
    <col min="2" max="2" width="5.5703125" customWidth="1"/>
    <col min="4" max="4" width="9.7109375" customWidth="1"/>
    <col min="5" max="5" width="8" style="66" customWidth="1"/>
    <col min="6" max="6" width="9.7109375" customWidth="1"/>
    <col min="8" max="8" width="10.85546875" customWidth="1"/>
  </cols>
  <sheetData>
    <row r="1" spans="1:9" s="79" customFormat="1" ht="14.25" x14ac:dyDescent="0.2">
      <c r="A1" s="8" t="s">
        <v>0</v>
      </c>
      <c r="B1" s="7"/>
      <c r="C1" s="7"/>
      <c r="E1" s="80"/>
    </row>
    <row r="2" spans="1:9" s="79" customFormat="1" ht="14.25" x14ac:dyDescent="0.2">
      <c r="A2" s="5" t="s">
        <v>132</v>
      </c>
      <c r="B2" s="7"/>
      <c r="C2" s="7"/>
      <c r="E2" s="80"/>
    </row>
    <row r="3" spans="1:9" s="79" customFormat="1" ht="14.25" x14ac:dyDescent="0.2">
      <c r="A3" s="4" t="s">
        <v>133</v>
      </c>
      <c r="B3" s="7"/>
      <c r="C3" s="7"/>
      <c r="E3" s="80"/>
    </row>
    <row r="4" spans="1:9" s="79" customFormat="1" ht="14.25" x14ac:dyDescent="0.2">
      <c r="A4" s="4"/>
      <c r="B4" s="7"/>
      <c r="C4" s="7"/>
      <c r="E4" s="80"/>
    </row>
    <row r="5" spans="1:9" s="79" customFormat="1" ht="15" thickBot="1" x14ac:dyDescent="0.25">
      <c r="B5" s="7"/>
      <c r="C5" s="7"/>
      <c r="E5" s="80"/>
    </row>
    <row r="6" spans="1:9" ht="15.75" x14ac:dyDescent="0.2">
      <c r="A6" s="268" t="s">
        <v>134</v>
      </c>
      <c r="B6" s="269"/>
      <c r="C6" s="269"/>
      <c r="D6" s="269"/>
      <c r="E6" s="269"/>
      <c r="F6" s="270"/>
    </row>
    <row r="7" spans="1:9" ht="15.75" x14ac:dyDescent="0.2">
      <c r="A7" s="154"/>
      <c r="B7" s="155"/>
      <c r="C7" s="155"/>
      <c r="D7" s="155"/>
      <c r="E7" s="155"/>
      <c r="F7" s="156"/>
    </row>
    <row r="8" spans="1:9" ht="15" x14ac:dyDescent="0.25">
      <c r="A8" s="116"/>
      <c r="B8" s="7"/>
      <c r="C8" s="7"/>
      <c r="D8" s="271" t="s">
        <v>135</v>
      </c>
      <c r="E8" s="272"/>
      <c r="F8" s="273"/>
      <c r="G8" s="79"/>
      <c r="H8" s="79"/>
    </row>
    <row r="9" spans="1:9" ht="14.25" x14ac:dyDescent="0.2">
      <c r="A9" s="114"/>
      <c r="B9" s="79"/>
      <c r="C9" s="79"/>
      <c r="D9" s="117" t="s">
        <v>136</v>
      </c>
      <c r="E9" s="118" t="s">
        <v>137</v>
      </c>
      <c r="F9" s="119" t="s">
        <v>138</v>
      </c>
      <c r="G9" s="79"/>
      <c r="H9" s="79"/>
    </row>
    <row r="10" spans="1:9" ht="14.25" x14ac:dyDescent="0.2">
      <c r="A10" s="120" t="s">
        <v>139</v>
      </c>
      <c r="B10" s="121" t="s">
        <v>140</v>
      </c>
      <c r="C10" s="122"/>
      <c r="D10" s="142">
        <v>2.9699999999999997E-2</v>
      </c>
      <c r="E10" s="143">
        <v>5.0799999999999998E-2</v>
      </c>
      <c r="F10" s="144">
        <v>6.2699999999999992E-2</v>
      </c>
      <c r="G10" s="79"/>
      <c r="H10" s="79"/>
    </row>
    <row r="11" spans="1:9" ht="14.25" x14ac:dyDescent="0.2">
      <c r="A11" s="88" t="s">
        <v>141</v>
      </c>
      <c r="B11" s="124" t="s">
        <v>142</v>
      </c>
      <c r="C11" s="125"/>
      <c r="D11" s="142">
        <v>7.779999999999998E-2</v>
      </c>
      <c r="E11" s="143">
        <v>0.1085</v>
      </c>
      <c r="F11" s="144">
        <v>0.13550000000000001</v>
      </c>
      <c r="G11" s="79"/>
      <c r="H11" s="168"/>
      <c r="I11" s="169"/>
    </row>
    <row r="12" spans="1:9" ht="14.25" x14ac:dyDescent="0.2">
      <c r="A12" s="88" t="s">
        <v>143</v>
      </c>
      <c r="B12" s="124" t="s">
        <v>144</v>
      </c>
      <c r="C12" s="126">
        <f>(1+E12)^(E13/252)-1</f>
        <v>0</v>
      </c>
      <c r="D12" s="142" t="s">
        <v>145</v>
      </c>
      <c r="E12" s="127"/>
      <c r="F12" s="123"/>
      <c r="G12" s="79"/>
      <c r="H12" s="79"/>
    </row>
    <row r="13" spans="1:9" ht="14.25" x14ac:dyDescent="0.2">
      <c r="A13" s="88" t="s">
        <v>146</v>
      </c>
      <c r="B13" s="274" t="s">
        <v>147</v>
      </c>
      <c r="C13" s="125"/>
      <c r="D13" s="158" t="s">
        <v>148</v>
      </c>
      <c r="E13" s="128"/>
      <c r="F13" s="129"/>
      <c r="G13" s="79"/>
      <c r="H13" s="79"/>
    </row>
    <row r="14" spans="1:9" ht="14.25" x14ac:dyDescent="0.2">
      <c r="A14" s="130" t="s">
        <v>149</v>
      </c>
      <c r="B14" s="275"/>
      <c r="C14" s="131"/>
      <c r="D14" s="113"/>
      <c r="E14" s="132"/>
      <c r="F14" s="129"/>
      <c r="G14" s="79"/>
      <c r="H14" s="79"/>
    </row>
    <row r="15" spans="1:9" ht="14.25" x14ac:dyDescent="0.2">
      <c r="A15" s="133" t="s">
        <v>150</v>
      </c>
      <c r="B15" s="134"/>
      <c r="C15" s="135"/>
      <c r="D15" s="113"/>
      <c r="E15" s="132"/>
      <c r="F15" s="129"/>
      <c r="G15" s="79"/>
      <c r="H15" s="79"/>
    </row>
    <row r="16" spans="1:9" ht="14.25" x14ac:dyDescent="0.2">
      <c r="A16" s="136" t="s">
        <v>168</v>
      </c>
      <c r="B16" s="137"/>
      <c r="C16" s="138"/>
      <c r="D16" s="113"/>
      <c r="E16" s="132"/>
      <c r="F16" s="129"/>
      <c r="G16" s="79"/>
      <c r="H16" s="79"/>
    </row>
    <row r="17" spans="1:8" ht="15" x14ac:dyDescent="0.2">
      <c r="A17" s="139" t="s">
        <v>151</v>
      </c>
      <c r="B17" s="140"/>
      <c r="C17" s="141">
        <f>ROUND((((1+C10)*(1+C11)*(1+C12))/(1-(C13+C14))-1),4)</f>
        <v>0</v>
      </c>
      <c r="D17" s="145">
        <v>0.21429999999999999</v>
      </c>
      <c r="E17" s="146">
        <v>0.2717</v>
      </c>
      <c r="F17" s="147">
        <v>0.3362</v>
      </c>
      <c r="G17" s="79"/>
      <c r="H17" s="79"/>
    </row>
    <row r="18" spans="1:8" ht="14.25" x14ac:dyDescent="0.2">
      <c r="A18" s="79"/>
      <c r="B18" s="79"/>
      <c r="C18" s="79"/>
      <c r="D18" s="79"/>
      <c r="E18" s="80"/>
      <c r="F18" s="79"/>
      <c r="G18" s="79"/>
      <c r="H18" s="79"/>
    </row>
    <row r="19" spans="1:8" ht="14.25" x14ac:dyDescent="0.2">
      <c r="A19" s="79"/>
      <c r="B19" s="79"/>
      <c r="C19" s="79"/>
      <c r="D19" s="79"/>
      <c r="E19" s="80"/>
      <c r="F19" s="79"/>
      <c r="G19" s="79"/>
      <c r="H19" s="79"/>
    </row>
    <row r="20" spans="1:8" ht="14.25" x14ac:dyDescent="0.2">
      <c r="A20" s="79"/>
      <c r="B20" s="79"/>
      <c r="C20" s="79"/>
      <c r="D20" s="79"/>
      <c r="E20" s="80"/>
      <c r="F20" s="79"/>
      <c r="G20" s="79"/>
      <c r="H20" s="79"/>
    </row>
    <row r="21" spans="1:8" ht="14.25" x14ac:dyDescent="0.2">
      <c r="A21" s="79"/>
      <c r="B21" s="79"/>
      <c r="C21" s="79"/>
      <c r="D21" s="79"/>
      <c r="E21" s="80"/>
      <c r="F21" s="79"/>
      <c r="G21" s="79"/>
      <c r="H21" s="79"/>
    </row>
  </sheetData>
  <mergeCells count="3">
    <mergeCell ref="A6:F6"/>
    <mergeCell ref="D8:F8"/>
    <mergeCell ref="B13:B14"/>
  </mergeCells>
  <pageMargins left="0.90555600000000003" right="0.51180599999999998" top="0.74791700000000005" bottom="0.74791700000000005" header="0.315278" footer="0.315278"/>
  <pageSetup paperSize="9" fitToWidth="0" orientation="portrait" r:id="rId1"/>
  <legacyDrawing r:id="rId2"/>
  <extLst>
    <ext uri="smNativeData">
      <pm:sheetPrefs xmlns:pm="smNativeData" day="16184907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1. Varrição total</vt:lpstr>
      <vt:lpstr>2. Capina</vt:lpstr>
      <vt:lpstr>3.Encargos Sociais</vt:lpstr>
      <vt:lpstr>4.CAGED</vt:lpstr>
      <vt:lpstr>5.BDI</vt:lpstr>
      <vt:lpstr>'1. Varrição total'!Area_de_impressao</vt:lpstr>
      <vt:lpstr>'2. Capina'!Area_de_impressao</vt:lpstr>
      <vt:lpstr>'3.Encargos Sociais'!Area_de_impressao</vt:lpstr>
      <vt:lpstr>'1. Varrição total'!Titulos_de_impressao</vt:lpstr>
      <vt:lpstr>'2. Capina'!Titulos_de_impressao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Flavia Burmeister Martins</dc:creator>
  <cp:keywords/>
  <dc:description/>
  <cp:lastModifiedBy>user</cp:lastModifiedBy>
  <cp:revision>0</cp:revision>
  <cp:lastPrinted>2023-06-16T18:33:14Z</cp:lastPrinted>
  <dcterms:created xsi:type="dcterms:W3CDTF">2000-12-13T10:02:50Z</dcterms:created>
  <dcterms:modified xsi:type="dcterms:W3CDTF">2023-12-20T16:58:11Z</dcterms:modified>
</cp:coreProperties>
</file>