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ojetos ERP\CONDOR RS\Alterações TCE\"/>
    </mc:Choice>
  </mc:AlternateContent>
  <bookViews>
    <workbookView xWindow="0" yWindow="0" windowWidth="20445" windowHeight="7545" tabRatio="802" activeTab="6"/>
  </bookViews>
  <sheets>
    <sheet name="1. Coleta Domiciliar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 Dimensionamento" sheetId="7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Domiciliar'!$A$1:$F$249</definedName>
    <definedName name="_xlnm.Print_Area" localSheetId="1">'2.Encargos Sociais'!$A$1:$C$34</definedName>
    <definedName name="_xlnm.Print_Titles" localSheetId="0">'1. Coleta Domiciliar'!$1:$1</definedName>
  </definedNames>
  <calcPr calcId="162913"/>
  <extLst>
    <ext uri="smNativeData">
      <pm:revision xmlns:pm="smNativeData" day="1618490794" val="982" rev="124" revOS="4" revMin="124" revMax="0"/>
      <pm:docPrefs xmlns:pm="smNativeData" id="1618490794" fixedDigits="0" showNotice="1" showFrameBounds="1" autoChart="1" recalcOnPrint="1" recalcOnCopy="1" finalRounding="1" compatTextArt="1" tab="567" useDefinedPrintRange="1" printArea="currentSheet"/>
      <pm:compatibility xmlns:pm="smNativeData" id="1618490794" overlapCells="1"/>
      <pm:defCurrency xmlns:pm="smNativeData" id="1618490794"/>
    </ext>
  </extLst>
</workbook>
</file>

<file path=xl/calcChain.xml><?xml version="1.0" encoding="utf-8"?>
<calcChain xmlns="http://schemas.openxmlformats.org/spreadsheetml/2006/main">
  <c r="E235" i="1" l="1"/>
  <c r="A26" i="1"/>
  <c r="C231" i="1"/>
  <c r="E231" i="1" s="1"/>
  <c r="D232" i="1" s="1"/>
  <c r="E232" i="1" s="1"/>
  <c r="C233" i="1" l="1"/>
  <c r="E233" i="1" s="1"/>
  <c r="D234" i="1" s="1"/>
  <c r="E234" i="1" s="1"/>
  <c r="F235" i="1" s="1"/>
  <c r="F237" i="1" s="1"/>
  <c r="E26" i="1" s="1"/>
  <c r="D59" i="1" l="1"/>
  <c r="E59" i="1" s="1"/>
  <c r="C61" i="1"/>
  <c r="C62" i="1"/>
  <c r="C64" i="1"/>
  <c r="E67" i="1"/>
  <c r="A34" i="1"/>
  <c r="E34" i="1"/>
  <c r="A10" i="1"/>
  <c r="D61" i="1" l="1"/>
  <c r="E61" i="1" s="1"/>
  <c r="D62" i="1" s="1"/>
  <c r="E62" i="1" s="1"/>
  <c r="E63" i="1" l="1"/>
  <c r="D64" i="1" s="1"/>
  <c r="E64" i="1" s="1"/>
  <c r="E65" i="1" s="1"/>
  <c r="D66" i="1" s="1"/>
  <c r="E66" i="1" s="1"/>
  <c r="F67" i="1" s="1"/>
  <c r="E10" i="1" s="1"/>
  <c r="D83" i="1"/>
  <c r="E83" i="1" s="1"/>
  <c r="D84" i="1"/>
  <c r="C86" i="1"/>
  <c r="C88" i="1"/>
  <c r="C90" i="1"/>
  <c r="E93" i="1"/>
  <c r="D86" i="1" l="1"/>
  <c r="E86" i="1" s="1"/>
  <c r="D88" i="1" s="1"/>
  <c r="E88" i="1" s="1"/>
  <c r="E89" i="1" s="1"/>
  <c r="C20" i="3"/>
  <c r="D90" i="1" l="1"/>
  <c r="E90" i="1" s="1"/>
  <c r="E91" i="1" s="1"/>
  <c r="D92" i="1" s="1"/>
  <c r="E92" i="1" s="1"/>
  <c r="F93" i="1" s="1"/>
  <c r="C19" i="7" l="1"/>
  <c r="C12" i="7"/>
  <c r="C13" i="4"/>
  <c r="C18" i="4" s="1"/>
  <c r="C242" i="1" s="1"/>
  <c r="F11" i="4"/>
  <c r="E11" i="4"/>
  <c r="D11" i="4"/>
  <c r="C22" i="3"/>
  <c r="C15" i="2"/>
  <c r="C12" i="2"/>
  <c r="E220" i="1"/>
  <c r="E219" i="1"/>
  <c r="E218" i="1"/>
  <c r="C209" i="1"/>
  <c r="C207" i="1"/>
  <c r="E207" i="1" s="1"/>
  <c r="E205" i="1"/>
  <c r="D194" i="1"/>
  <c r="D192" i="1"/>
  <c r="D190" i="1"/>
  <c r="D188" i="1"/>
  <c r="D186" i="1"/>
  <c r="C186" i="1"/>
  <c r="C194" i="1" s="1"/>
  <c r="E178" i="1"/>
  <c r="C176" i="1"/>
  <c r="E176" i="1" s="1"/>
  <c r="C175" i="1"/>
  <c r="E175" i="1" s="1"/>
  <c r="C174" i="1"/>
  <c r="E170" i="1"/>
  <c r="C169" i="1"/>
  <c r="D163" i="1"/>
  <c r="E163" i="1" s="1"/>
  <c r="E159" i="1"/>
  <c r="C156" i="1"/>
  <c r="C155" i="1"/>
  <c r="E152" i="1"/>
  <c r="D155" i="1" s="1"/>
  <c r="E142" i="1"/>
  <c r="D140" i="1"/>
  <c r="E140" i="1" s="1"/>
  <c r="D139" i="1"/>
  <c r="E139" i="1" s="1"/>
  <c r="D138" i="1"/>
  <c r="E138" i="1" s="1"/>
  <c r="D137" i="1"/>
  <c r="E137" i="1" s="1"/>
  <c r="D136" i="1"/>
  <c r="E136" i="1" s="1"/>
  <c r="E131" i="1"/>
  <c r="E129" i="1"/>
  <c r="E128" i="1"/>
  <c r="E127" i="1"/>
  <c r="E126" i="1"/>
  <c r="E125" i="1"/>
  <c r="E124" i="1"/>
  <c r="E123" i="1"/>
  <c r="E122" i="1"/>
  <c r="E113" i="1"/>
  <c r="A106" i="1"/>
  <c r="A112" i="1" s="1"/>
  <c r="A105" i="1"/>
  <c r="A111" i="1" s="1"/>
  <c r="C100" i="1"/>
  <c r="C99" i="1"/>
  <c r="E79" i="1"/>
  <c r="E71" i="1"/>
  <c r="D100" i="1" s="1"/>
  <c r="E55" i="1"/>
  <c r="E49" i="1"/>
  <c r="D99" i="1" s="1"/>
  <c r="E40" i="1"/>
  <c r="A40" i="1"/>
  <c r="E36" i="1"/>
  <c r="A36" i="1"/>
  <c r="E35" i="1"/>
  <c r="A35" i="1"/>
  <c r="E33" i="1"/>
  <c r="A33" i="1"/>
  <c r="A27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C23" i="3" l="1"/>
  <c r="C26" i="2" s="1"/>
  <c r="C24" i="3"/>
  <c r="C25" i="3" s="1"/>
  <c r="E37" i="1"/>
  <c r="G99" i="1"/>
  <c r="C112" i="1"/>
  <c r="E112" i="1" s="1"/>
  <c r="C105" i="1"/>
  <c r="E105" i="1" s="1"/>
  <c r="C141" i="1"/>
  <c r="C111" i="1"/>
  <c r="E111" i="1" s="1"/>
  <c r="D208" i="1"/>
  <c r="E208" i="1" s="1"/>
  <c r="D209" i="1" s="1"/>
  <c r="E209" i="1" s="1"/>
  <c r="F210" i="1" s="1"/>
  <c r="E24" i="1" s="1"/>
  <c r="F221" i="1"/>
  <c r="F223" i="1" s="1"/>
  <c r="E25" i="1" s="1"/>
  <c r="D130" i="1"/>
  <c r="C190" i="1"/>
  <c r="E190" i="1" s="1"/>
  <c r="C188" i="1"/>
  <c r="E188" i="1" s="1"/>
  <c r="C200" i="1"/>
  <c r="E200" i="1" s="1"/>
  <c r="F201" i="1" s="1"/>
  <c r="E23" i="1" s="1"/>
  <c r="C192" i="1"/>
  <c r="E192" i="1" s="1"/>
  <c r="D141" i="1"/>
  <c r="E99" i="1"/>
  <c r="E155" i="1"/>
  <c r="D156" i="1" s="1"/>
  <c r="E156" i="1" s="1"/>
  <c r="E157" i="1" s="1"/>
  <c r="D195" i="1"/>
  <c r="E186" i="1"/>
  <c r="D50" i="1"/>
  <c r="E50" i="1" s="1"/>
  <c r="C106" i="1"/>
  <c r="E106" i="1" s="1"/>
  <c r="C130" i="1"/>
  <c r="C15" i="7"/>
  <c r="C20" i="7" s="1"/>
  <c r="C22" i="7" s="1"/>
  <c r="E100" i="1"/>
  <c r="C165" i="1"/>
  <c r="D174" i="1"/>
  <c r="E174" i="1" s="1"/>
  <c r="D177" i="1" s="1"/>
  <c r="E194" i="1"/>
  <c r="E177" i="1" l="1"/>
  <c r="F178" i="1" s="1"/>
  <c r="E21" i="1" s="1"/>
  <c r="F107" i="1"/>
  <c r="E14" i="1" s="1"/>
  <c r="C25" i="2"/>
  <c r="C30" i="3"/>
  <c r="F113" i="1"/>
  <c r="E15" i="1" s="1"/>
  <c r="C166" i="1"/>
  <c r="D167" i="1" s="1"/>
  <c r="E167" i="1" s="1"/>
  <c r="E168" i="1" s="1"/>
  <c r="E141" i="1"/>
  <c r="F142" i="1" s="1"/>
  <c r="D158" i="1"/>
  <c r="F196" i="1"/>
  <c r="E22" i="1" s="1"/>
  <c r="E130" i="1"/>
  <c r="F131" i="1" s="1"/>
  <c r="C23" i="2"/>
  <c r="C14" i="2" s="1"/>
  <c r="C20" i="2" s="1"/>
  <c r="D74" i="1"/>
  <c r="E74" i="1" s="1"/>
  <c r="E75" i="1" s="1"/>
  <c r="F101" i="1"/>
  <c r="E13" i="1" s="1"/>
  <c r="E51" i="1"/>
  <c r="C29" i="2" l="1"/>
  <c r="C22" i="2"/>
  <c r="C30" i="2" s="1"/>
  <c r="C31" i="2" s="1"/>
  <c r="F144" i="1"/>
  <c r="E16" i="1" s="1"/>
  <c r="E158" i="1"/>
  <c r="F159" i="1" s="1"/>
  <c r="E19" i="1" s="1"/>
  <c r="D169" i="1"/>
  <c r="E169" i="1" s="1"/>
  <c r="F170" i="1" s="1"/>
  <c r="E20" i="1" s="1"/>
  <c r="D76" i="1"/>
  <c r="D52" i="1"/>
  <c r="C24" i="2" l="1"/>
  <c r="C27" i="2" s="1"/>
  <c r="C32" i="2" s="1"/>
  <c r="C52" i="1" s="1"/>
  <c r="E52" i="1" s="1"/>
  <c r="E53" i="1" s="1"/>
  <c r="D54" i="1" s="1"/>
  <c r="E54" i="1" s="1"/>
  <c r="F55" i="1" s="1"/>
  <c r="E9" i="1" s="1"/>
  <c r="F213" i="1"/>
  <c r="E17" i="1" s="1"/>
  <c r="E18" i="1"/>
  <c r="E12" i="1" l="1"/>
  <c r="C76" i="1"/>
  <c r="E76" i="1" s="1"/>
  <c r="E77" i="1" s="1"/>
  <c r="D78" i="1" s="1"/>
  <c r="E78" i="1" s="1"/>
  <c r="F79" i="1" s="1"/>
  <c r="E11" i="1" s="1"/>
  <c r="F115" i="1" l="1"/>
  <c r="F226" i="1" s="1"/>
  <c r="E8" i="1" l="1"/>
  <c r="D242" i="1"/>
  <c r="E242" i="1" s="1"/>
  <c r="F243" i="1" s="1"/>
  <c r="F245" i="1" s="1"/>
  <c r="E27" i="1" s="1"/>
  <c r="E28" i="1" l="1"/>
  <c r="F26" i="1" s="1"/>
  <c r="F248" i="1"/>
  <c r="F10" i="1" l="1"/>
  <c r="F25" i="1"/>
  <c r="F23" i="1"/>
  <c r="F24" i="1"/>
  <c r="F14" i="1"/>
  <c r="F22" i="1"/>
  <c r="F21" i="1"/>
  <c r="F15" i="1"/>
  <c r="F19" i="1"/>
  <c r="F13" i="1"/>
  <c r="F16" i="1"/>
  <c r="F20" i="1"/>
  <c r="F17" i="1"/>
  <c r="F9" i="1"/>
  <c r="F18" i="1"/>
  <c r="F11" i="1"/>
  <c r="F12" i="1"/>
  <c r="F8" i="1"/>
  <c r="F27" i="1"/>
  <c r="F28" i="1" l="1"/>
</calcChain>
</file>

<file path=xl/comments1.xml><?xml version="1.0" encoding="utf-8"?>
<comments xmlns="http://schemas.openxmlformats.org/spreadsheetml/2006/main">
  <authors>
    <author>Unknown</author>
  </authors>
  <commentList>
    <comment ref="A6" authorId="0" shapeId="0">
      <text>
        <r>
          <rPr>
            <sz val="9"/>
            <rFont val="Tahoma"/>
            <family val="2"/>
          </rPr>
          <t xml:space="preserve">Qualquer custo previsto no edital e não contemplado nesta planilha modelo deverá ser devidamente incluído
</t>
        </r>
      </text>
    </comment>
    <comment ref="B43" authorId="0" shapeId="0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  <comment ref="D49" authorId="0" shape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52" authorId="0" shape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54" authorId="0" shape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60" authorId="0" shape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C64" authorId="0" shape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66" authorId="0" shape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71" authorId="0" shape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D72" authorId="0" shapeId="0">
      <text>
        <r>
          <rPr>
            <sz val="9"/>
            <rFont val="Tahoma"/>
            <family val="2"/>
          </rPr>
          <t>Informar o valor do salário Mínimo Nacional</t>
        </r>
      </text>
    </comment>
    <comment ref="C73" authorId="0" shape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4" authorId="0" shapeId="0">
      <text>
        <r>
          <rPr>
            <sz val="9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6" authorId="0" shape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78" authorId="0" shape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85" authorId="0" shape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C87" authorId="0" shape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0" authorId="0" shape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92" authorId="0" shape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97" authorId="0" shape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C98" authorId="0" shape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99" authorId="0" shape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100" authorId="0" shapeId="0">
      <text>
        <r>
          <rPr>
            <sz val="9"/>
            <rFont val="Tahoma"/>
            <family val="2"/>
          </rPr>
          <t xml:space="preserve">Valor Unitário considerando o desconto legal de até 6% do salário
</t>
        </r>
      </text>
    </comment>
    <comment ref="D105" authorId="0" shapeId="0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6" authorId="0" shapeId="0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1" authorId="0" shapeId="0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2" authorId="0" shapeId="0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2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2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3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3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4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4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5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5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6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6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7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7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8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8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29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9" authorId="0" shape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36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7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8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9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0" authorId="0" shape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2" authorId="0" shapeId="0">
      <text>
        <r>
          <rPr>
            <sz val="9"/>
            <rFont val="Tahoma"/>
            <family val="2"/>
          </rPr>
          <t>Informar o preço unitário do chassis do caminhão de coleta</t>
        </r>
      </text>
    </comment>
    <comment ref="C153" authorId="0" shapeId="0">
      <text>
        <r>
          <rPr>
            <sz val="9"/>
            <rFont val="Tahoma"/>
            <family val="2"/>
          </rPr>
          <t>Informar a vida útil estimada para o caminhão, em anos</t>
        </r>
      </text>
    </comment>
    <comment ref="C154" authorId="0" shapeId="0">
      <text>
        <r>
          <rPr>
            <sz val="9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5" authorId="0" shapeId="0">
      <text>
        <r>
          <rPr>
            <b/>
            <sz val="9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family val="2"/>
          </rPr>
          <t xml:space="preserve">
</t>
        </r>
      </text>
    </comment>
    <comment ref="C158" authorId="0" shapeId="0">
      <text>
        <r>
          <rPr>
            <sz val="9"/>
            <rFont val="Tahoma"/>
            <family val="2"/>
          </rPr>
          <t>Informar a quantidade de caminhões compactadores do respectivo modelo</t>
        </r>
      </text>
    </comment>
    <comment ref="C164" authorId="0" shapeId="0">
      <text>
        <r>
          <rPr>
            <b/>
            <sz val="9"/>
            <rFont val="Tahoma"/>
            <family val="2"/>
          </rPr>
          <t>Informar a taxa de juros anual para remuneração do capital. Recomenda-se o uso da Taxa SELIC</t>
        </r>
        <r>
          <rPr>
            <sz val="9"/>
            <rFont val="Tahoma"/>
            <family val="2"/>
          </rPr>
          <t xml:space="preserve">
</t>
        </r>
      </text>
    </comment>
    <comment ref="D175" authorId="0" shapeId="0">
      <text>
        <r>
          <rPr>
            <sz val="9"/>
            <rFont val="Tahoma"/>
            <family val="2"/>
          </rPr>
          <t xml:space="preserve">Informar o valor do seguro obrigatório e licenciamento anual de um caminhão
</t>
        </r>
      </text>
    </comment>
    <comment ref="D176" authorId="0" shapeId="0">
      <text>
        <r>
          <rPr>
            <sz val="9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82" authorId="0" shapeId="0">
      <text>
        <r>
          <rPr>
            <sz val="9"/>
            <rFont val="Tahoma"/>
            <family val="2"/>
          </rPr>
          <t xml:space="preserve">Informar a quilometragem mensal percorrida, de acordo com o projeto básico
</t>
        </r>
      </text>
    </comment>
    <comment ref="C185" authorId="0" shapeId="0">
      <text>
        <r>
          <rPr>
            <sz val="9"/>
            <rFont val="Tahoma"/>
            <family val="2"/>
          </rPr>
          <t>Informar o consumo estimado do veículo em km/l</t>
        </r>
      </text>
    </comment>
    <comment ref="D185" authorId="0" shapeId="0">
      <text>
        <r>
          <rPr>
            <sz val="9"/>
            <rFont val="Tahoma"/>
            <family val="2"/>
          </rPr>
          <t xml:space="preserve">Informar o preço unitário do combustivel
</t>
        </r>
      </text>
    </comment>
    <comment ref="C187" authorId="0" shapeId="0">
      <text>
        <r>
          <rPr>
            <sz val="9"/>
            <rFont val="Tahoma"/>
            <family val="2"/>
          </rPr>
          <t>Informar o consumo de óleo do motor a cada 1000km</t>
        </r>
      </text>
    </comment>
    <comment ref="D187" authorId="0" shapeId="0">
      <text>
        <r>
          <rPr>
            <sz val="9"/>
            <rFont val="Tahoma"/>
            <family val="2"/>
          </rPr>
          <t xml:space="preserve">Informar o preço unitário do litro do óleo do motor
</t>
        </r>
      </text>
    </comment>
    <comment ref="C189" authorId="0" shapeId="0">
      <text>
        <r>
          <rPr>
            <sz val="9"/>
            <rFont val="Tahoma"/>
            <family val="2"/>
          </rPr>
          <t>Informar o consumo de óleo da transmissão a cada 1000km</t>
        </r>
      </text>
    </comment>
    <comment ref="D189" authorId="0" shapeId="0">
      <text>
        <r>
          <rPr>
            <sz val="9"/>
            <rFont val="Tahoma"/>
            <family val="2"/>
          </rPr>
          <t xml:space="preserve">Informar o preço unitário do litro do óleo da transmissão
</t>
        </r>
      </text>
    </comment>
    <comment ref="C191" authorId="0" shapeId="0">
      <text>
        <r>
          <rPr>
            <sz val="9"/>
            <rFont val="Tahoma"/>
            <family val="2"/>
          </rPr>
          <t>Informar o consumo de óleo hidráulico a cada 1000km</t>
        </r>
      </text>
    </comment>
    <comment ref="D191" authorId="0" shapeId="0">
      <text>
        <r>
          <rPr>
            <sz val="9"/>
            <rFont val="Tahoma"/>
            <family val="2"/>
          </rPr>
          <t xml:space="preserve">Informar o preço unitário do litro do óleo hidráulico
</t>
        </r>
      </text>
    </comment>
    <comment ref="C193" authorId="0" shapeId="0">
      <text>
        <r>
          <rPr>
            <sz val="9"/>
            <rFont val="Tahoma"/>
            <family val="2"/>
          </rPr>
          <t>Informar o consumo de graxa a cada 1000km</t>
        </r>
      </text>
    </comment>
    <comment ref="D193" authorId="0" shapeId="0">
      <text>
        <r>
          <rPr>
            <sz val="9"/>
            <rFont val="Tahoma"/>
            <family val="2"/>
          </rPr>
          <t xml:space="preserve">Informar o preço unitário do litro da graxa
</t>
        </r>
      </text>
    </comment>
    <comment ref="D200" authorId="0" shapeId="0">
      <text>
        <r>
          <rPr>
            <sz val="9"/>
            <rFont val="Tahoma"/>
            <family val="2"/>
          </rPr>
          <t xml:space="preserve">Informar o custo de manutenção em R$/km rodado
</t>
        </r>
      </text>
    </comment>
    <comment ref="C205" authorId="0" shapeId="0">
      <text>
        <r>
          <rPr>
            <sz val="9"/>
            <rFont val="Tahoma"/>
            <family val="2"/>
          </rPr>
          <t>Informar a quantidade de pneus novos de 1 caminhão</t>
        </r>
      </text>
    </comment>
    <comment ref="D205" authorId="0" shapeId="0">
      <text>
        <r>
          <rPr>
            <sz val="9"/>
            <rFont val="Tahoma"/>
            <family val="2"/>
          </rPr>
          <t xml:space="preserve">Informar o preço unitário de cada pneu
</t>
        </r>
      </text>
    </comment>
    <comment ref="C206" authorId="0" shapeId="0">
      <text>
        <r>
          <rPr>
            <sz val="9"/>
            <rFont val="Tahoma"/>
            <family val="2"/>
          </rPr>
          <t>Informar o número de recapagens por pneu</t>
        </r>
      </text>
    </comment>
    <comment ref="D207" authorId="0" shapeId="0">
      <text>
        <r>
          <rPr>
            <sz val="9"/>
            <rFont val="Tahoma"/>
            <family val="2"/>
          </rPr>
          <t xml:space="preserve">Informar o preço unitário de cada recapagem
</t>
        </r>
      </text>
    </comment>
    <comment ref="C208" authorId="0" shapeId="0">
      <text>
        <r>
          <rPr>
            <sz val="9"/>
            <rFont val="Tahoma"/>
            <family val="2"/>
          </rPr>
          <t xml:space="preserve">Informar a durabilidade média dos pneus considerando todas as recapagens, em km
</t>
        </r>
      </text>
    </comment>
    <comment ref="C218" authorId="0" shape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8" authorId="0" shape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19" authorId="0" shape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9" authorId="0" shape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20" authorId="0" shape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0" authorId="0" shape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A228" authorId="0" shapeId="0">
      <text>
        <r>
          <rPr>
            <b/>
            <sz val="9"/>
            <rFont val="Tahoma"/>
            <family val="2"/>
          </rPr>
          <t>Especificar somente quando for exigido no Projeto Básico</t>
        </r>
        <r>
          <rPr>
            <sz val="9"/>
            <rFont val="Tahoma"/>
            <family val="2"/>
          </rPr>
          <t xml:space="preserve">
</t>
        </r>
      </text>
    </comment>
    <comment ref="D231" authorId="0" shapeId="0">
      <text>
        <r>
          <rPr>
            <sz val="9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33" authorId="0" shapeId="0">
      <text>
        <r>
          <rPr>
            <sz val="9"/>
            <rFont val="Tahoma"/>
            <family val="2"/>
          </rPr>
          <t>Informar o valor unitário mensal para manutenção dos equipamentos de monitoramento</t>
        </r>
      </text>
    </comment>
    <comment ref="C242" authorId="0" shapeId="0">
      <text>
        <r>
          <rPr>
            <sz val="9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Unknown</author>
  </authors>
  <commentList>
    <comment ref="C10" authorId="0" shapeId="0">
      <text>
        <r>
          <rPr>
            <b/>
            <sz val="9"/>
            <rFont val="Tahoma"/>
            <family val="2"/>
          </rPr>
          <t>Informar o % de Administração Central estimado</t>
        </r>
        <r>
          <rPr>
            <sz val="9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rFont val="Tahoma"/>
            <family val="2"/>
          </rPr>
          <t>Informar o % de Seguros, Riscos e Garantia estimado</t>
        </r>
        <r>
          <rPr>
            <sz val="9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rFont val="Tahoma"/>
            <family val="2"/>
          </rPr>
          <t>Informar o % de Lucro estimado</t>
        </r>
        <r>
          <rPr>
            <sz val="9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rFont val="Tahoma"/>
            <family val="2"/>
          </rPr>
          <t>Informar o valor anual da taxa financeira, em percentual. Admite-se utilizar a SELIC</t>
        </r>
      </text>
    </comment>
    <comment ref="C14" authorId="0" shapeId="0">
      <text>
        <r>
          <rPr>
            <b/>
            <sz val="9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rFont val="Tahoma"/>
            <family val="2"/>
          </rPr>
          <t xml:space="preserve">Informar o valor estimado de PIS/COFINS. </t>
        </r>
        <r>
          <rPr>
            <sz val="9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Unknown</author>
  </authors>
  <commentList>
    <comment ref="C10" authorId="0" shapeId="0">
      <text>
        <r>
          <rPr>
            <sz val="8"/>
            <rFont val="Tahoma"/>
            <family val="2"/>
          </rPr>
          <t>Informar a população do município a ser atendida</t>
        </r>
      </text>
    </comment>
    <comment ref="C11" authorId="0" shapeId="0">
      <text>
        <r>
          <rPr>
            <b/>
            <sz val="9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2" authorId="0" shapeId="0">
      <text>
        <r>
          <rPr>
            <sz val="9"/>
            <rFont val="Tahoma"/>
            <family val="2"/>
          </rPr>
          <t>retorna a geração diária a ser recolhida</t>
        </r>
      </text>
    </comment>
    <comment ref="C14" authorId="0" shapeId="0">
      <text>
        <r>
          <rPr>
            <b/>
            <sz val="8"/>
            <rFont val="Tahoma"/>
            <family val="2"/>
          </rPr>
          <t>Informe o número de dias de coleta por semana</t>
        </r>
      </text>
    </comment>
    <comment ref="C17" authorId="0" shapeId="0">
      <text>
        <r>
          <rPr>
            <sz val="8"/>
            <rFont val="Tahoma"/>
            <family val="2"/>
          </rPr>
          <t>Informar 1 para caminhão toco; Informar 2 para caminhão truck</t>
        </r>
        <r>
          <rPr>
            <b/>
            <sz val="8"/>
            <rFont val="Tahoma"/>
            <family val="2"/>
          </rPr>
          <t xml:space="preserve"> </t>
        </r>
      </text>
    </comment>
    <comment ref="C18" authorId="0" shapeId="0">
      <text>
        <r>
          <rPr>
            <sz val="8"/>
            <rFont val="Tahoma"/>
            <family val="2"/>
          </rPr>
          <t>Informar a capacidade do compactador em m³</t>
        </r>
      </text>
    </comment>
    <comment ref="C21" authorId="0" shapeId="0">
      <text>
        <r>
          <rPr>
            <sz val="8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<sst xmlns="http://schemas.openxmlformats.org/spreadsheetml/2006/main" count="496" uniqueCount="282">
  <si>
    <t>Orientações para preenchimento:</t>
  </si>
  <si>
    <t>3. Preencher somente células em amarelo</t>
  </si>
  <si>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</si>
  <si>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</si>
  <si>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</si>
  <si>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</si>
  <si>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</si>
  <si>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</si>
  <si>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</si>
  <si>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</si>
  <si>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</si>
  <si>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</si>
  <si>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</si>
  <si>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</si>
  <si>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</si>
  <si>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</si>
  <si>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</si>
  <si>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</si>
  <si>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</si>
  <si>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</si>
  <si>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Piso da categoria</t>
  </si>
  <si>
    <t>mês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</si>
  <si>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</si>
  <si>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</si>
  <si>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</si>
  <si>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</si>
  <si>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</si>
  <si>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</si>
  <si>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</si>
  <si>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</si>
  <si>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</si>
  <si>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</si>
  <si>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</si>
  <si>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</si>
  <si>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</si>
  <si>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</si>
  <si>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</si>
  <si>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</si>
  <si>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</si>
  <si>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</si>
  <si>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</si>
  <si>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</si>
  <si>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</si>
  <si>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</si>
  <si>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</si>
  <si>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</si>
  <si>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</si>
  <si>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</si>
  <si>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</si>
  <si>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</si>
  <si>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</si>
  <si>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</si>
  <si>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</si>
  <si>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</si>
  <si>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</si>
  <si>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</si>
  <si>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</si>
  <si>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Botina de segurança c/ palmilha aço</t>
  </si>
  <si>
    <t>par</t>
  </si>
  <si>
    <t>Meia de algodão com cano alto</t>
  </si>
  <si>
    <t>Colete reflexivo</t>
  </si>
  <si>
    <t>Luva de proteção</t>
  </si>
  <si>
    <t>Protetor solar FPS 30</t>
  </si>
  <si>
    <t>frasco 120g</t>
  </si>
  <si>
    <t>2.2. Uniformes e EPIs para demais categorias</t>
  </si>
  <si>
    <t>Custo Mensal com Uniformes e EPIs (R$/mês)</t>
  </si>
  <si>
    <t>3. Veículos e Equipamentos</t>
  </si>
  <si>
    <t>3.1.1. Depreciação</t>
  </si>
  <si>
    <t>anos</t>
  </si>
  <si>
    <t>Idade do veículo</t>
  </si>
  <si>
    <t>Depreciação mensal veículos coletores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</si>
  <si>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</si>
  <si>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</si>
  <si>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</si>
  <si>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</si>
  <si>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</si>
  <si>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</si>
  <si>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</si>
  <si>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</si>
  <si>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</si>
  <si>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</si>
  <si>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</si>
  <si>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</si>
  <si>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</si>
  <si>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</si>
  <si>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</si>
  <si>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</si>
  <si>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</si>
  <si>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</si>
  <si>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</si>
  <si>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</si>
  <si>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</si>
  <si>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</si>
  <si>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</si>
  <si>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</si>
  <si>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</si>
  <si>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</si>
  <si>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</si>
  <si>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</si>
  <si>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</si>
  <si>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</si>
  <si>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</si>
  <si>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</si>
  <si>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</si>
  <si>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</si>
  <si>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</si>
  <si>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Número de recapagens por pneu</t>
  </si>
  <si>
    <t>Custo de recapagem</t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</si>
  <si>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</si>
  <si>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</si>
  <si>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</si>
  <si>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</si>
  <si>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</si>
  <si>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</si>
  <si>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</si>
  <si>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Custo Mensal com Ferramentas e Materiais de Consumo (R$/mês)</t>
  </si>
  <si>
    <t>CUSTO TOTAL MENSAL COM DESPESAS OPERACIONAIS (R$/mês)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</si>
  <si>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</si>
  <si>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</si>
  <si>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</si>
  <si>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</si>
  <si>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</si>
  <si>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</si>
  <si>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</si>
  <si>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</si>
  <si>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</si>
  <si>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</si>
  <si>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</si>
  <si>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</si>
  <si>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</si>
  <si>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</si>
  <si>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</si>
  <si>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</si>
  <si>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</si>
  <si>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</si>
  <si>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</si>
  <si>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</si>
  <si>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</si>
  <si>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</si>
  <si>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</si>
  <si>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</si>
  <si>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</si>
  <si>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</si>
  <si>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</si>
  <si>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</si>
  <si>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</si>
  <si>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</si>
  <si>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</si>
  <si>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</si>
  <si>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</si>
  <si>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</si>
  <si>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</si>
  <si>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</si>
  <si>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</si>
  <si>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</si>
  <si>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</si>
  <si>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</si>
  <si>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</si>
  <si>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</si>
  <si>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</si>
  <si>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</si>
  <si>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</si>
  <si>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</si>
  <si>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</si>
  <si>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</si>
  <si>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</si>
  <si>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</si>
  <si>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</si>
  <si>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</si>
  <si>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</si>
  <si>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</si>
  <si>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</si>
  <si>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</si>
  <si>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</si>
  <si>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</si>
  <si>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</si>
  <si>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</si>
  <si>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</si>
  <si>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</si>
  <si>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</si>
  <si>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</si>
  <si>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</si>
  <si>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</si>
  <si>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</si>
  <si>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</si>
  <si>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</si>
  <si>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</si>
  <si>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</si>
  <si>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</si>
  <si>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</si>
  <si>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</si>
  <si>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final do Período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</si>
  <si>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</si>
  <si>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</si>
  <si>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</si>
  <si>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</si>
  <si>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</si>
  <si>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</si>
  <si>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</si>
  <si>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</si>
  <si>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</si>
  <si>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</si>
  <si>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</si>
  <si>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1. Esta planilha é somente um modelo-base e deve ser ajustada conforme cada caso concreto.</t>
  </si>
  <si>
    <t>2. Preencher somente células em amarelo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</si>
  <si>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</si>
  <si>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</si>
  <si>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</si>
  <si>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</si>
  <si>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</si>
  <si>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</si>
  <si>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</si>
  <si>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</si>
  <si>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</si>
  <si>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</si>
  <si>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</si>
  <si>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</si>
  <si>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</si>
  <si>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</si>
  <si>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</si>
  <si>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</si>
  <si>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</si>
  <si>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</si>
  <si>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</si>
  <si>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</si>
  <si>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</si>
  <si>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</si>
  <si>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</si>
  <si>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</si>
  <si>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</si>
  <si>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</si>
  <si>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t>J</t>
    </r>
    <r>
      <rPr>
        <vertAlign val="subscript"/>
        <sz val="12"/>
        <rFont val="Arial"/>
        <family val="2"/>
      </rPr>
      <t>m</t>
    </r>
    <r>
      <rPr>
        <vertAlign val="superscript"/>
        <sz val="12"/>
        <rFont val="Arial"/>
        <family val="2"/>
      </rPr>
      <t xml:space="preserve"> = remuneração de capital mensal</t>
    </r>
  </si>
  <si>
    <t>i = taxa de juros do mercado (sugere-se adotar a taxa SELIC)</t>
  </si>
  <si>
    <t>Im = investimento médio</t>
  </si>
  <si>
    <r>
      <t>V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 xml:space="preserve"> = valor inicial do bem</t>
    </r>
  </si>
  <si>
    <r>
      <t>V</t>
    </r>
    <r>
      <rPr>
        <vertAlign val="subscript"/>
        <sz val="12"/>
        <rFont val="Arial"/>
        <family val="2"/>
      </rPr>
      <t>r</t>
    </r>
    <r>
      <rPr>
        <vertAlign val="superscript"/>
        <sz val="12"/>
        <rFont val="Arial"/>
        <family val="2"/>
      </rPr>
      <t xml:space="preserve"> = valor residual do bem</t>
    </r>
  </si>
  <si>
    <t>n = vida útil do bem em anos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</si>
  <si>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</si>
  <si>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</si>
  <si>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</si>
  <si>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</si>
  <si>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</si>
  <si>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</si>
  <si>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</si>
  <si>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</si>
  <si>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</si>
  <si>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</si>
  <si>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</si>
  <si>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</si>
  <si>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</si>
  <si>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</si>
  <si>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</si>
  <si>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</si>
  <si>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</si>
  <si>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</si>
  <si>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</si>
  <si>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</si>
  <si>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</si>
  <si>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</si>
  <si>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</si>
  <si>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</si>
  <si>
    <t>Custo de aquisição do veículo</t>
  </si>
  <si>
    <t>Depreciação</t>
  </si>
  <si>
    <t>Vida útil do veículo</t>
  </si>
  <si>
    <t>Custo jg. compl. + 2 recap./ km rodado</t>
  </si>
  <si>
    <t>3.1. Veículo Coletor 15 m³</t>
  </si>
  <si>
    <t>Custo do jogo de pneus 275/80R22,5</t>
  </si>
  <si>
    <t>Estoque recuperado início do Período 01-01-2019</t>
  </si>
  <si>
    <t>Variação Emprego Absoluta de 01-01-2019 a 31-12-2019</t>
  </si>
  <si>
    <t>Tendo em vista que o CAGED foi descontinuado em janeiro de 2020, esta planilha foi atualizada 
até 31/12/2019.</t>
  </si>
  <si>
    <t>ITEM 1. Coleta e Destinação de Resíduos Sólidos Urbanos</t>
  </si>
  <si>
    <t>PREÇO TOTAL MENSAL COM A COLETA E DESTINAÇÃO FINAL (Preço Fixo)</t>
  </si>
  <si>
    <t>5. Monitoramento da Frota</t>
  </si>
  <si>
    <t>Implantação dos equipamentos de monitoramento</t>
  </si>
  <si>
    <t>cj</t>
  </si>
  <si>
    <t>Custo mensal com implantação</t>
  </si>
  <si>
    <t>Custo Mensal com Monitoramento da Frota (R$/mês)</t>
  </si>
  <si>
    <t>6. Benefícios e Despesas Indiretas - BDI</t>
  </si>
  <si>
    <t>Mensalidade de acompanhamento</t>
  </si>
  <si>
    <t>Custo mensal da mensalidade de acompanhamento</t>
  </si>
  <si>
    <t>125 3 recapagem</t>
  </si>
  <si>
    <t>** Preencher as cédulas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</si>
</sst>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  <numFmt numFmtId="173" formatCode="_(* #,##0.000_);_(* \(#,##0.000\);_(* &quot;-&quot;??.000_);_(@_)"/>
    <numFmt numFmtId="174" formatCode="dd/mm/yy;@"/>
  </numFmts>
  <fonts count="27" x14ac:knownFonts="1"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CE1"/>
        <bgColor rgb="FFFFFFFF"/>
      </patternFill>
    </fill>
    <fill>
      <patternFill patternType="solid">
        <fgColor rgb="FFEEECE1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353">
    <xf numFmtId="0" fontId="0" fillId="0" borderId="0" xfId="0"/>
    <xf numFmtId="165" fontId="0" fillId="0" borderId="0" xfId="3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2" xfId="3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3" applyFont="1" applyBorder="1" applyAlignment="1">
      <alignment horizontal="center" vertical="center"/>
    </xf>
    <xf numFmtId="165" fontId="0" fillId="0" borderId="0" xfId="3" applyFont="1" applyAlignment="1">
      <alignment horizontal="center" vertical="center"/>
    </xf>
    <xf numFmtId="165" fontId="2" fillId="2" borderId="3" xfId="3" applyFont="1" applyFill="1" applyBorder="1" applyAlignment="1">
      <alignment horizontal="center" vertical="center"/>
    </xf>
    <xf numFmtId="165" fontId="2" fillId="2" borderId="3" xfId="3" applyFont="1" applyFill="1" applyBorder="1" applyAlignment="1">
      <alignment vertical="center"/>
    </xf>
    <xf numFmtId="165" fontId="2" fillId="0" borderId="0" xfId="3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2" fillId="0" borderId="5" xfId="3" applyFont="1" applyBorder="1" applyAlignment="1">
      <alignment vertical="center"/>
    </xf>
    <xf numFmtId="165" fontId="2" fillId="0" borderId="6" xfId="3" applyFont="1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5" xfId="3" applyFont="1" applyBorder="1" applyAlignment="1">
      <alignment vertical="center"/>
    </xf>
    <xf numFmtId="165" fontId="0" fillId="0" borderId="6" xfId="3" applyFont="1" applyBorder="1" applyAlignment="1">
      <alignment vertical="center"/>
    </xf>
    <xf numFmtId="165" fontId="2" fillId="0" borderId="0" xfId="3" applyFont="1" applyAlignment="1">
      <alignment horizontal="center" vertical="center"/>
    </xf>
    <xf numFmtId="3" fontId="0" fillId="0" borderId="0" xfId="0" applyNumberFormat="1" applyAlignment="1">
      <alignment vertical="center"/>
    </xf>
    <xf numFmtId="165" fontId="4" fillId="0" borderId="0" xfId="3" applyFont="1" applyAlignment="1">
      <alignment vertical="center"/>
    </xf>
    <xf numFmtId="166" fontId="0" fillId="0" borderId="1" xfId="3" applyNumberFormat="1" applyFont="1" applyBorder="1" applyAlignment="1">
      <alignment vertical="center"/>
    </xf>
    <xf numFmtId="165" fontId="3" fillId="0" borderId="0" xfId="3" applyFont="1" applyAlignment="1">
      <alignment vertical="center"/>
    </xf>
    <xf numFmtId="165" fontId="0" fillId="0" borderId="7" xfId="3" applyFont="1" applyBorder="1" applyAlignment="1">
      <alignment vertical="center"/>
    </xf>
    <xf numFmtId="165" fontId="2" fillId="0" borderId="8" xfId="3" applyFon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2" fillId="0" borderId="10" xfId="3" applyFont="1" applyBorder="1" applyAlignment="1">
      <alignment horizontal="right" vertical="center"/>
    </xf>
    <xf numFmtId="165" fontId="0" fillId="0" borderId="11" xfId="3" applyFont="1" applyBorder="1" applyAlignment="1">
      <alignment vertical="center"/>
    </xf>
    <xf numFmtId="165" fontId="0" fillId="0" borderId="1" xfId="3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0" fillId="0" borderId="12" xfId="2" applyNumberFormat="1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5" fontId="8" fillId="4" borderId="14" xfId="3" applyFont="1" applyFill="1" applyBorder="1" applyAlignment="1">
      <alignment horizontal="center" vertical="center"/>
    </xf>
    <xf numFmtId="165" fontId="8" fillId="5" borderId="15" xfId="3" applyFont="1" applyFill="1" applyBorder="1" applyAlignment="1">
      <alignment horizontal="center" vertical="center"/>
    </xf>
    <xf numFmtId="165" fontId="2" fillId="0" borderId="16" xfId="3" applyFont="1" applyBorder="1" applyAlignment="1">
      <alignment horizontal="center" vertical="center"/>
    </xf>
    <xf numFmtId="165" fontId="0" fillId="0" borderId="11" xfId="3" applyFont="1" applyBorder="1" applyAlignment="1">
      <alignment horizontal="left" vertical="center"/>
    </xf>
    <xf numFmtId="166" fontId="0" fillId="0" borderId="0" xfId="3" applyNumberFormat="1" applyFont="1" applyAlignment="1">
      <alignment horizontal="center" vertical="center"/>
    </xf>
    <xf numFmtId="1" fontId="0" fillId="0" borderId="17" xfId="3" applyNumberFormat="1" applyFont="1" applyBorder="1" applyAlignment="1">
      <alignment horizontal="center" vertical="center"/>
    </xf>
    <xf numFmtId="165" fontId="2" fillId="0" borderId="18" xfId="3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5" fontId="0" fillId="0" borderId="16" xfId="3" applyFont="1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8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1" fontId="2" fillId="0" borderId="20" xfId="3" applyNumberFormat="1" applyFont="1" applyBorder="1" applyAlignment="1">
      <alignment horizontal="center" vertical="center"/>
    </xf>
    <xf numFmtId="165" fontId="7" fillId="0" borderId="0" xfId="3" applyFont="1" applyAlignment="1">
      <alignment vertical="center"/>
    </xf>
    <xf numFmtId="43" fontId="0" fillId="0" borderId="0" xfId="0" applyNumberFormat="1" applyAlignment="1">
      <alignment vertical="center"/>
    </xf>
    <xf numFmtId="0" fontId="0" fillId="6" borderId="21" xfId="0" applyFill="1" applyBorder="1" applyAlignment="1">
      <alignment horizontal="center" vertical="center"/>
    </xf>
    <xf numFmtId="165" fontId="0" fillId="7" borderId="22" xfId="3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165" fontId="0" fillId="6" borderId="21" xfId="3" applyFon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165" fontId="0" fillId="8" borderId="23" xfId="3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6" fontId="0" fillId="0" borderId="1" xfId="3" applyNumberFormat="1" applyFont="1" applyBorder="1" applyAlignment="1">
      <alignment horizontal="center" vertical="center"/>
    </xf>
    <xf numFmtId="167" fontId="0" fillId="7" borderId="22" xfId="3" applyNumberFormat="1" applyFont="1" applyFill="1" applyBorder="1" applyAlignment="1">
      <alignment horizontal="center" vertical="center"/>
    </xf>
    <xf numFmtId="13" fontId="0" fillId="6" borderId="2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3" applyFont="1" applyBorder="1" applyAlignment="1">
      <alignment horizontal="center" vertical="center"/>
    </xf>
    <xf numFmtId="0" fontId="6" fillId="0" borderId="0" xfId="1" applyAlignment="1" applyProtection="1">
      <alignment vertical="center"/>
    </xf>
    <xf numFmtId="0" fontId="2" fillId="0" borderId="0" xfId="0" applyFont="1"/>
    <xf numFmtId="0" fontId="8" fillId="9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165" fontId="8" fillId="10" borderId="25" xfId="3" applyFont="1" applyFill="1" applyBorder="1" applyAlignment="1">
      <alignment horizontal="center" vertical="center"/>
    </xf>
    <xf numFmtId="3" fontId="0" fillId="6" borderId="21" xfId="0" applyNumberFormat="1" applyFill="1" applyBorder="1" applyAlignment="1">
      <alignment vertical="center"/>
    </xf>
    <xf numFmtId="165" fontId="2" fillId="0" borderId="26" xfId="3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27" xfId="3" applyFont="1" applyBorder="1" applyAlignment="1">
      <alignment horizontal="center" vertical="center"/>
    </xf>
    <xf numFmtId="2" fontId="0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3" applyFont="1" applyAlignment="1">
      <alignment horizontal="right" vertical="center"/>
    </xf>
    <xf numFmtId="165" fontId="2" fillId="11" borderId="28" xfId="3" applyFont="1" applyFill="1" applyBorder="1" applyAlignment="1">
      <alignment horizontal="center" vertical="center"/>
    </xf>
    <xf numFmtId="165" fontId="2" fillId="0" borderId="11" xfId="3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9" xfId="3" applyFont="1" applyBorder="1" applyAlignment="1">
      <alignment vertical="center"/>
    </xf>
    <xf numFmtId="10" fontId="2" fillId="0" borderId="12" xfId="2" applyNumberFormat="1" applyFont="1" applyBorder="1" applyAlignment="1">
      <alignment vertical="center"/>
    </xf>
    <xf numFmtId="165" fontId="2" fillId="0" borderId="29" xfId="3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5" fontId="0" fillId="0" borderId="30" xfId="3" applyFont="1" applyBorder="1" applyAlignment="1">
      <alignment vertical="center"/>
    </xf>
    <xf numFmtId="165" fontId="0" fillId="0" borderId="31" xfId="3" applyFont="1" applyBorder="1" applyAlignment="1">
      <alignment vertical="center"/>
    </xf>
    <xf numFmtId="165" fontId="0" fillId="0" borderId="32" xfId="3" applyFont="1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33" xfId="3" applyNumberFormat="1" applyFont="1" applyBorder="1" applyAlignment="1">
      <alignment horizontal="center" vertical="center"/>
    </xf>
    <xf numFmtId="165" fontId="2" fillId="0" borderId="11" xfId="3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Continuous" vertical="center"/>
    </xf>
    <xf numFmtId="165" fontId="0" fillId="12" borderId="34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5" fillId="0" borderId="11" xfId="0" applyFont="1" applyBorder="1"/>
    <xf numFmtId="0" fontId="5" fillId="0" borderId="35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17" xfId="0" applyFont="1" applyBorder="1"/>
    <xf numFmtId="0" fontId="5" fillId="0" borderId="18" xfId="0" applyFont="1" applyBorder="1"/>
    <xf numFmtId="2" fontId="4" fillId="14" borderId="39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4" fillId="15" borderId="41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4" fillId="0" borderId="1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0" fontId="5" fillId="0" borderId="17" xfId="0" applyNumberFormat="1" applyFont="1" applyBorder="1" applyAlignment="1">
      <alignment horizontal="right" vertical="center"/>
    </xf>
    <xf numFmtId="0" fontId="4" fillId="16" borderId="42" xfId="0" applyFont="1" applyFill="1" applyBorder="1" applyAlignment="1">
      <alignment horizontal="left" vertical="center"/>
    </xf>
    <xf numFmtId="0" fontId="5" fillId="17" borderId="43" xfId="0" applyFont="1" applyFill="1" applyBorder="1" applyAlignment="1">
      <alignment horizontal="left" vertical="center"/>
    </xf>
    <xf numFmtId="10" fontId="5" fillId="18" borderId="4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0" fontId="0" fillId="0" borderId="0" xfId="0" applyNumberFormat="1"/>
    <xf numFmtId="9" fontId="4" fillId="0" borderId="0" xfId="2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19" borderId="45" xfId="0" applyFont="1" applyFill="1" applyBorder="1" applyAlignment="1">
      <alignment horizontal="left" vertical="center"/>
    </xf>
    <xf numFmtId="0" fontId="5" fillId="20" borderId="46" xfId="0" applyFont="1" applyFill="1" applyBorder="1" applyAlignment="1">
      <alignment horizontal="left" vertical="center"/>
    </xf>
    <xf numFmtId="10" fontId="5" fillId="21" borderId="4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 applyAlignment="1">
      <alignment horizontal="right" vertical="center"/>
    </xf>
    <xf numFmtId="0" fontId="0" fillId="22" borderId="48" xfId="0" applyFill="1" applyBorder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22" borderId="48" xfId="0" applyFont="1" applyFill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6" fillId="0" borderId="0" xfId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7" xfId="0" applyFont="1" applyBorder="1"/>
    <xf numFmtId="0" fontId="4" fillId="13" borderId="36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5" fillId="0" borderId="29" xfId="0" applyFont="1" applyBorder="1" applyAlignment="1">
      <alignment horizontal="left" vertical="center"/>
    </xf>
    <xf numFmtId="9" fontId="4" fillId="0" borderId="37" xfId="2" applyFont="1" applyBorder="1"/>
    <xf numFmtId="9" fontId="4" fillId="0" borderId="1" xfId="2" applyFont="1" applyBorder="1" applyAlignment="1">
      <alignment horizontal="center"/>
    </xf>
    <xf numFmtId="9" fontId="4" fillId="0" borderId="17" xfId="2" applyFont="1" applyBorder="1"/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10" fontId="4" fillId="25" borderId="52" xfId="0" applyNumberFormat="1" applyFont="1" applyFill="1" applyBorder="1" applyAlignment="1">
      <alignment horizontal="center" vertical="center"/>
    </xf>
    <xf numFmtId="10" fontId="4" fillId="0" borderId="17" xfId="2" applyNumberFormat="1" applyFont="1" applyBorder="1"/>
    <xf numFmtId="0" fontId="4" fillId="0" borderId="1" xfId="0" applyFont="1" applyBorder="1" applyAlignment="1">
      <alignment horizontal="center" vertical="center"/>
    </xf>
    <xf numFmtId="10" fontId="4" fillId="13" borderId="36" xfId="0" applyNumberFormat="1" applyFont="1" applyFill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6" borderId="21" xfId="2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0" borderId="17" xfId="0" applyFont="1" applyBorder="1"/>
    <xf numFmtId="0" fontId="4" fillId="0" borderId="40" xfId="0" applyFont="1" applyBorder="1" applyAlignment="1">
      <alignment horizontal="left" vertical="center"/>
    </xf>
    <xf numFmtId="10" fontId="4" fillId="26" borderId="5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0" fontId="4" fillId="0" borderId="5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5" fillId="27" borderId="58" xfId="0" applyFont="1" applyFill="1" applyBorder="1" applyAlignment="1">
      <alignment vertical="center" wrapText="1"/>
    </xf>
    <xf numFmtId="0" fontId="4" fillId="28" borderId="59" xfId="0" applyFont="1" applyFill="1" applyBorder="1" applyAlignment="1">
      <alignment vertical="center"/>
    </xf>
    <xf numFmtId="10" fontId="5" fillId="29" borderId="60" xfId="0" applyNumberFormat="1" applyFont="1" applyFill="1" applyBorder="1" applyAlignment="1">
      <alignment horizontal="center" vertical="center" wrapText="1"/>
    </xf>
    <xf numFmtId="10" fontId="4" fillId="0" borderId="37" xfId="2" applyNumberFormat="1" applyFont="1" applyBorder="1" applyAlignment="1">
      <alignment horizontal="right"/>
    </xf>
    <xf numFmtId="10" fontId="4" fillId="0" borderId="1" xfId="2" applyNumberFormat="1" applyFont="1" applyBorder="1" applyAlignment="1">
      <alignment horizontal="right"/>
    </xf>
    <xf numFmtId="10" fontId="4" fillId="0" borderId="17" xfId="2" applyNumberFormat="1" applyFont="1" applyBorder="1" applyAlignment="1">
      <alignment horizontal="right"/>
    </xf>
    <xf numFmtId="10" fontId="4" fillId="0" borderId="40" xfId="2" applyNumberFormat="1" applyFont="1" applyBorder="1" applyAlignment="1">
      <alignment horizontal="right"/>
    </xf>
    <xf numFmtId="10" fontId="4" fillId="0" borderId="61" xfId="2" applyNumberFormat="1" applyFont="1" applyBorder="1" applyAlignment="1">
      <alignment horizontal="right"/>
    </xf>
    <xf numFmtId="10" fontId="4" fillId="0" borderId="33" xfId="2" applyNumberFormat="1" applyFont="1" applyBorder="1" applyAlignment="1">
      <alignment horizontal="right"/>
    </xf>
    <xf numFmtId="0" fontId="0" fillId="0" borderId="62" xfId="0" applyBorder="1"/>
    <xf numFmtId="0" fontId="10" fillId="0" borderId="62" xfId="0" applyFont="1" applyBorder="1" applyAlignment="1">
      <alignment horizontal="justify"/>
    </xf>
    <xf numFmtId="0" fontId="10" fillId="0" borderId="63" xfId="0" applyFont="1" applyBorder="1" applyAlignment="1">
      <alignment horizontal="justify"/>
    </xf>
    <xf numFmtId="0" fontId="9" fillId="30" borderId="64" xfId="0" applyFont="1" applyFill="1" applyBorder="1" applyAlignment="1">
      <alignment horizontal="center"/>
    </xf>
    <xf numFmtId="1" fontId="0" fillId="0" borderId="0" xfId="3" applyNumberFormat="1" applyFont="1" applyAlignment="1">
      <alignment horizontal="center" vertical="center"/>
    </xf>
    <xf numFmtId="165" fontId="0" fillId="0" borderId="65" xfId="3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2" fillId="0" borderId="7" xfId="3" applyFont="1" applyBorder="1" applyAlignment="1">
      <alignment vertical="center"/>
    </xf>
    <xf numFmtId="165" fontId="2" fillId="0" borderId="4" xfId="3" applyFont="1" applyBorder="1" applyAlignment="1">
      <alignment vertical="center"/>
    </xf>
    <xf numFmtId="9" fontId="2" fillId="31" borderId="66" xfId="2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9" xfId="3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3" applyNumberFormat="1" applyFont="1" applyBorder="1" applyAlignment="1">
      <alignment horizontal="center" vertical="center"/>
    </xf>
    <xf numFmtId="167" fontId="0" fillId="0" borderId="2" xfId="3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165" fontId="2" fillId="0" borderId="67" xfId="3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170" fontId="4" fillId="0" borderId="17" xfId="3" applyNumberFormat="1" applyFont="1" applyBorder="1" applyAlignment="1">
      <alignment horizontal="center" vertical="center" wrapText="1"/>
    </xf>
    <xf numFmtId="171" fontId="4" fillId="0" borderId="17" xfId="0" applyNumberFormat="1" applyFont="1" applyBorder="1"/>
    <xf numFmtId="2" fontId="4" fillId="0" borderId="17" xfId="0" applyNumberFormat="1" applyFont="1" applyBorder="1"/>
    <xf numFmtId="0" fontId="4" fillId="0" borderId="40" xfId="0" applyFont="1" applyBorder="1"/>
    <xf numFmtId="0" fontId="4" fillId="0" borderId="61" xfId="0" applyFont="1" applyBorder="1"/>
    <xf numFmtId="171" fontId="4" fillId="13" borderId="36" xfId="0" applyNumberFormat="1" applyFont="1" applyFill="1" applyBorder="1"/>
    <xf numFmtId="171" fontId="4" fillId="0" borderId="33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2" fontId="4" fillId="13" borderId="36" xfId="0" applyNumberFormat="1" applyFont="1" applyFill="1" applyBorder="1"/>
    <xf numFmtId="0" fontId="4" fillId="0" borderId="37" xfId="0" applyFont="1" applyBorder="1" applyAlignment="1">
      <alignment horizontal="right"/>
    </xf>
    <xf numFmtId="169" fontId="5" fillId="0" borderId="17" xfId="0" applyNumberFormat="1" applyFont="1" applyBorder="1"/>
    <xf numFmtId="9" fontId="5" fillId="0" borderId="17" xfId="2" applyFont="1" applyBorder="1"/>
    <xf numFmtId="10" fontId="5" fillId="0" borderId="17" xfId="2" applyNumberFormat="1" applyFont="1" applyBorder="1"/>
    <xf numFmtId="9" fontId="5" fillId="0" borderId="20" xfId="2" applyFont="1" applyBorder="1"/>
    <xf numFmtId="0" fontId="4" fillId="0" borderId="68" xfId="0" applyFont="1" applyBorder="1"/>
    <xf numFmtId="173" fontId="2" fillId="0" borderId="0" xfId="3" applyNumberFormat="1" applyFont="1" applyAlignment="1">
      <alignment horizontal="center" vertical="center"/>
    </xf>
    <xf numFmtId="174" fontId="0" fillId="0" borderId="0" xfId="3" applyNumberFormat="1" applyFont="1" applyAlignment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13" fontId="0" fillId="6" borderId="21" xfId="0" applyNumberFormat="1" applyFill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5" fontId="22" fillId="6" borderId="21" xfId="3" applyFont="1" applyFill="1" applyBorder="1" applyAlignment="1">
      <alignment horizontal="center" vertical="center"/>
    </xf>
    <xf numFmtId="165" fontId="22" fillId="0" borderId="1" xfId="3" applyFont="1" applyBorder="1" applyAlignment="1">
      <alignment horizontal="center" vertical="center"/>
    </xf>
    <xf numFmtId="165" fontId="22" fillId="0" borderId="0" xfId="3" applyFont="1" applyAlignment="1">
      <alignment vertical="center"/>
    </xf>
    <xf numFmtId="0" fontId="22" fillId="0" borderId="0" xfId="0" applyFont="1" applyAlignment="1">
      <alignment vertical="center"/>
    </xf>
    <xf numFmtId="43" fontId="22" fillId="0" borderId="0" xfId="0" applyNumberFormat="1" applyFont="1" applyAlignment="1">
      <alignment vertical="center"/>
    </xf>
    <xf numFmtId="166" fontId="22" fillId="0" borderId="1" xfId="3" applyNumberFormat="1" applyFont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9" xfId="0" applyFill="1" applyBorder="1" applyAlignment="1">
      <alignment vertical="center"/>
    </xf>
    <xf numFmtId="0" fontId="0" fillId="0" borderId="0" xfId="0" applyFill="1" applyAlignment="1">
      <alignment vertical="center"/>
    </xf>
    <xf numFmtId="10" fontId="4" fillId="0" borderId="0" xfId="0" applyNumberFormat="1" applyFont="1"/>
    <xf numFmtId="10" fontId="0" fillId="0" borderId="0" xfId="2" applyNumberFormat="1" applyFont="1"/>
    <xf numFmtId="10" fontId="4" fillId="0" borderId="17" xfId="2" applyNumberFormat="1" applyFont="1" applyBorder="1" applyAlignment="1">
      <alignment horizontal="right" vertical="center"/>
    </xf>
    <xf numFmtId="10" fontId="4" fillId="0" borderId="0" xfId="2" applyNumberFormat="1" applyFont="1" applyAlignment="1">
      <alignment horizontal="left" vertical="center"/>
    </xf>
    <xf numFmtId="165" fontId="7" fillId="0" borderId="70" xfId="3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5" fillId="0" borderId="36" xfId="0" applyFont="1" applyFill="1" applyBorder="1"/>
    <xf numFmtId="0" fontId="0" fillId="0" borderId="0" xfId="0" applyFill="1"/>
    <xf numFmtId="0" fontId="2" fillId="0" borderId="0" xfId="0" applyFont="1" applyFill="1"/>
    <xf numFmtId="0" fontId="5" fillId="0" borderId="70" xfId="0" applyFont="1" applyFill="1" applyBorder="1"/>
    <xf numFmtId="0" fontId="4" fillId="0" borderId="70" xfId="0" applyFont="1" applyFill="1" applyBorder="1"/>
    <xf numFmtId="0" fontId="5" fillId="0" borderId="68" xfId="0" applyFont="1" applyBorder="1"/>
    <xf numFmtId="0" fontId="4" fillId="0" borderId="11" xfId="0" applyFont="1" applyBorder="1"/>
    <xf numFmtId="0" fontId="4" fillId="0" borderId="97" xfId="0" applyFont="1" applyBorder="1"/>
    <xf numFmtId="0" fontId="4" fillId="0" borderId="49" xfId="0" applyFont="1" applyBorder="1"/>
    <xf numFmtId="0" fontId="5" fillId="13" borderId="96" xfId="0" applyFont="1" applyFill="1" applyBorder="1"/>
    <xf numFmtId="0" fontId="4" fillId="13" borderId="96" xfId="0" applyFont="1" applyFill="1" applyBorder="1"/>
    <xf numFmtId="0" fontId="4" fillId="23" borderId="96" xfId="0" applyFont="1" applyFill="1" applyBorder="1"/>
    <xf numFmtId="0" fontId="4" fillId="0" borderId="96" xfId="0" applyFont="1" applyBorder="1"/>
    <xf numFmtId="0" fontId="4" fillId="24" borderId="96" xfId="0" applyFont="1" applyFill="1" applyBorder="1"/>
    <xf numFmtId="0" fontId="23" fillId="0" borderId="77" xfId="0" applyFont="1" applyBorder="1"/>
    <xf numFmtId="0" fontId="23" fillId="0" borderId="37" xfId="0" applyFont="1" applyBorder="1"/>
    <xf numFmtId="165" fontId="0" fillId="0" borderId="27" xfId="3" applyFont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166" fontId="0" fillId="0" borderId="27" xfId="3" applyNumberFormat="1" applyFont="1" applyBorder="1" applyAlignment="1">
      <alignment vertical="center"/>
    </xf>
    <xf numFmtId="165" fontId="0" fillId="6" borderId="27" xfId="3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3" fontId="0" fillId="6" borderId="21" xfId="0" applyNumberFormat="1" applyFill="1" applyBorder="1" applyAlignment="1">
      <alignment horizontal="right" vertical="center"/>
    </xf>
    <xf numFmtId="0" fontId="0" fillId="7" borderId="22" xfId="0" applyFill="1" applyBorder="1" applyAlignment="1">
      <alignment horizontal="right" vertical="center"/>
    </xf>
    <xf numFmtId="4" fontId="0" fillId="7" borderId="22" xfId="0" applyNumberFormat="1" applyFill="1" applyBorder="1" applyAlignment="1">
      <alignment horizontal="right" vertical="center"/>
    </xf>
    <xf numFmtId="166" fontId="0" fillId="0" borderId="1" xfId="3" applyNumberFormat="1" applyFont="1" applyBorder="1" applyAlignment="1">
      <alignment horizontal="right" vertical="center"/>
    </xf>
    <xf numFmtId="4" fontId="22" fillId="6" borderId="21" xfId="0" applyNumberFormat="1" applyFont="1" applyFill="1" applyBorder="1" applyAlignment="1">
      <alignment horizontal="right" vertical="center"/>
    </xf>
    <xf numFmtId="166" fontId="22" fillId="0" borderId="1" xfId="3" applyNumberFormat="1" applyFont="1" applyBorder="1" applyAlignment="1">
      <alignment horizontal="right" vertical="center"/>
    </xf>
    <xf numFmtId="165" fontId="2" fillId="0" borderId="11" xfId="3" applyFont="1" applyBorder="1" applyAlignment="1">
      <alignment horizontal="left" vertical="center"/>
    </xf>
    <xf numFmtId="0" fontId="2" fillId="0" borderId="70" xfId="0" applyFont="1" applyBorder="1" applyAlignment="1">
      <alignment vertical="center"/>
    </xf>
    <xf numFmtId="0" fontId="0" fillId="0" borderId="70" xfId="0" applyBorder="1" applyAlignment="1">
      <alignment vertical="center"/>
    </xf>
    <xf numFmtId="165" fontId="0" fillId="0" borderId="70" xfId="3" applyFont="1" applyBorder="1" applyAlignment="1">
      <alignment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165" fontId="8" fillId="11" borderId="14" xfId="3" applyFont="1" applyFill="1" applyBorder="1" applyAlignment="1">
      <alignment horizontal="center" vertical="center"/>
    </xf>
    <xf numFmtId="165" fontId="8" fillId="11" borderId="15" xfId="3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65" fontId="0" fillId="31" borderId="43" xfId="3" applyFont="1" applyFill="1" applyBorder="1" applyAlignment="1">
      <alignment horizontal="center" vertical="center"/>
    </xf>
    <xf numFmtId="165" fontId="0" fillId="0" borderId="43" xfId="3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25" fillId="0" borderId="43" xfId="3" applyFont="1" applyBorder="1" applyAlignment="1">
      <alignment horizontal="center" vertical="center"/>
    </xf>
    <xf numFmtId="165" fontId="0" fillId="0" borderId="43" xfId="3" applyFont="1" applyBorder="1" applyAlignment="1">
      <alignment vertical="center"/>
    </xf>
    <xf numFmtId="165" fontId="2" fillId="11" borderId="3" xfId="3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165" fontId="2" fillId="0" borderId="92" xfId="3" applyFont="1" applyBorder="1" applyAlignment="1">
      <alignment vertical="center"/>
    </xf>
    <xf numFmtId="165" fontId="2" fillId="0" borderId="82" xfId="3" applyFont="1" applyBorder="1" applyAlignment="1">
      <alignment vertical="center"/>
    </xf>
    <xf numFmtId="165" fontId="2" fillId="0" borderId="70" xfId="3" applyFont="1" applyFill="1" applyBorder="1" applyAlignment="1">
      <alignment vertical="center"/>
    </xf>
    <xf numFmtId="168" fontId="2" fillId="0" borderId="43" xfId="0" applyNumberFormat="1" applyFont="1" applyBorder="1" applyAlignment="1">
      <alignment vertical="center"/>
    </xf>
    <xf numFmtId="165" fontId="2" fillId="0" borderId="68" xfId="3" applyFont="1" applyBorder="1" applyAlignment="1">
      <alignment horizontal="left" vertical="center"/>
    </xf>
    <xf numFmtId="4" fontId="2" fillId="0" borderId="100" xfId="0" applyNumberFormat="1" applyFont="1" applyBorder="1" applyAlignment="1">
      <alignment horizontal="centerContinuous" vertical="center"/>
    </xf>
    <xf numFmtId="165" fontId="2" fillId="0" borderId="100" xfId="3" applyFont="1" applyBorder="1" applyAlignment="1">
      <alignment vertical="center"/>
    </xf>
    <xf numFmtId="168" fontId="2" fillId="0" borderId="27" xfId="0" applyNumberFormat="1" applyFont="1" applyBorder="1" applyAlignment="1">
      <alignment vertical="center"/>
    </xf>
    <xf numFmtId="10" fontId="2" fillId="0" borderId="97" xfId="2" applyNumberFormat="1" applyFont="1" applyBorder="1" applyAlignment="1">
      <alignment vertical="center"/>
    </xf>
    <xf numFmtId="165" fontId="2" fillId="0" borderId="101" xfId="3" applyFont="1" applyBorder="1" applyAlignment="1">
      <alignment horizontal="left" vertical="center" wrapText="1"/>
    </xf>
    <xf numFmtId="4" fontId="2" fillId="0" borderId="102" xfId="0" applyNumberFormat="1" applyFont="1" applyBorder="1" applyAlignment="1">
      <alignment horizontal="centerContinuous" vertical="center"/>
    </xf>
    <xf numFmtId="165" fontId="2" fillId="0" borderId="102" xfId="3" applyFont="1" applyBorder="1" applyAlignment="1">
      <alignment vertical="center"/>
    </xf>
    <xf numFmtId="164" fontId="2" fillId="0" borderId="103" xfId="0" applyNumberFormat="1" applyFont="1" applyBorder="1" applyAlignment="1">
      <alignment vertical="center"/>
    </xf>
    <xf numFmtId="9" fontId="2" fillId="0" borderId="104" xfId="2" applyFont="1" applyBorder="1" applyAlignment="1">
      <alignment vertical="center"/>
    </xf>
    <xf numFmtId="165" fontId="22" fillId="0" borderId="2" xfId="3" applyFont="1" applyBorder="1" applyAlignment="1">
      <alignment horizontal="center" vertical="center"/>
    </xf>
    <xf numFmtId="165" fontId="26" fillId="0" borderId="0" xfId="3" applyFont="1" applyAlignment="1">
      <alignment horizontal="center" vertical="center"/>
    </xf>
    <xf numFmtId="0" fontId="9" fillId="32" borderId="74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6" borderId="78" xfId="0" applyFont="1" applyFill="1" applyBorder="1" applyAlignment="1">
      <alignment horizontal="center" vertical="center"/>
    </xf>
    <xf numFmtId="0" fontId="5" fillId="37" borderId="79" xfId="0" applyFont="1" applyFill="1" applyBorder="1" applyAlignment="1">
      <alignment horizontal="center" vertical="center"/>
    </xf>
    <xf numFmtId="165" fontId="3" fillId="38" borderId="80" xfId="3" applyFont="1" applyFill="1" applyBorder="1" applyAlignment="1">
      <alignment horizontal="center" vertical="center"/>
    </xf>
    <xf numFmtId="165" fontId="3" fillId="39" borderId="81" xfId="3" applyFont="1" applyFill="1" applyBorder="1" applyAlignment="1">
      <alignment horizontal="center" vertical="center"/>
    </xf>
    <xf numFmtId="165" fontId="3" fillId="40" borderId="82" xfId="3" applyFont="1" applyFill="1" applyBorder="1" applyAlignment="1">
      <alignment horizontal="center" vertical="center"/>
    </xf>
    <xf numFmtId="165" fontId="2" fillId="0" borderId="11" xfId="3" applyFont="1" applyBorder="1" applyAlignment="1">
      <alignment horizontal="left" vertical="center"/>
    </xf>
    <xf numFmtId="165" fontId="2" fillId="0" borderId="9" xfId="3" applyFont="1" applyBorder="1" applyAlignment="1">
      <alignment horizontal="left" vertical="center"/>
    </xf>
    <xf numFmtId="165" fontId="2" fillId="0" borderId="4" xfId="3" applyFont="1" applyBorder="1" applyAlignment="1">
      <alignment horizontal="center" vertical="center"/>
    </xf>
    <xf numFmtId="165" fontId="2" fillId="0" borderId="5" xfId="3" applyFont="1" applyBorder="1" applyAlignment="1">
      <alignment horizontal="center" vertical="center"/>
    </xf>
    <xf numFmtId="165" fontId="2" fillId="0" borderId="71" xfId="3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5" fontId="0" fillId="0" borderId="96" xfId="3" applyFont="1" applyBorder="1" applyAlignment="1">
      <alignment horizontal="center" vertical="center"/>
    </xf>
    <xf numFmtId="165" fontId="0" fillId="0" borderId="98" xfId="3" applyFont="1" applyBorder="1" applyAlignment="1">
      <alignment horizontal="center" vertical="center"/>
    </xf>
    <xf numFmtId="165" fontId="0" fillId="0" borderId="99" xfId="3" applyFont="1" applyBorder="1" applyAlignment="1">
      <alignment horizontal="center" vertical="center"/>
    </xf>
    <xf numFmtId="0" fontId="9" fillId="41" borderId="83" xfId="0" applyFont="1" applyFill="1" applyBorder="1" applyAlignment="1">
      <alignment horizontal="center" vertical="center"/>
    </xf>
    <xf numFmtId="0" fontId="9" fillId="42" borderId="84" xfId="0" applyFont="1" applyFill="1" applyBorder="1" applyAlignment="1">
      <alignment horizontal="center" vertical="center"/>
    </xf>
    <xf numFmtId="0" fontId="9" fillId="43" borderId="85" xfId="0" applyFont="1" applyFill="1" applyBorder="1" applyAlignment="1">
      <alignment horizontal="center" vertical="center"/>
    </xf>
    <xf numFmtId="0" fontId="9" fillId="44" borderId="86" xfId="0" applyFont="1" applyFill="1" applyBorder="1" applyAlignment="1">
      <alignment horizontal="center"/>
    </xf>
    <xf numFmtId="0" fontId="9" fillId="45" borderId="87" xfId="0" applyFont="1" applyFill="1" applyBorder="1" applyAlignment="1">
      <alignment horizontal="center"/>
    </xf>
    <xf numFmtId="0" fontId="7" fillId="0" borderId="70" xfId="0" applyFont="1" applyBorder="1" applyAlignment="1">
      <alignment horizontal="left" vertical="top" wrapText="1"/>
    </xf>
    <xf numFmtId="0" fontId="0" fillId="0" borderId="70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46" borderId="88" xfId="0" applyFont="1" applyFill="1" applyBorder="1" applyAlignment="1">
      <alignment horizontal="center" vertical="center"/>
    </xf>
    <xf numFmtId="0" fontId="3" fillId="47" borderId="89" xfId="0" applyFont="1" applyFill="1" applyBorder="1" applyAlignment="1">
      <alignment horizontal="center" vertical="center"/>
    </xf>
    <xf numFmtId="0" fontId="3" fillId="48" borderId="90" xfId="0" applyFont="1" applyFill="1" applyBorder="1" applyAlignment="1">
      <alignment horizontal="center" vertical="center"/>
    </xf>
    <xf numFmtId="9" fontId="5" fillId="0" borderId="50" xfId="2" applyFont="1" applyBorder="1" applyAlignment="1">
      <alignment horizontal="center"/>
    </xf>
    <xf numFmtId="9" fontId="5" fillId="0" borderId="51" xfId="2" applyFont="1" applyBorder="1" applyAlignment="1">
      <alignment horizontal="center"/>
    </xf>
    <xf numFmtId="9" fontId="5" fillId="0" borderId="8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49" borderId="91" xfId="0" applyFont="1" applyFill="1" applyBorder="1" applyAlignment="1">
      <alignment horizontal="center" vertical="center"/>
    </xf>
    <xf numFmtId="0" fontId="3" fillId="50" borderId="92" xfId="0" applyFont="1" applyFill="1" applyBorder="1" applyAlignment="1">
      <alignment horizontal="center" vertical="center"/>
    </xf>
    <xf numFmtId="0" fontId="9" fillId="51" borderId="93" xfId="0" applyFont="1" applyFill="1" applyBorder="1" applyAlignment="1">
      <alignment horizontal="center"/>
    </xf>
    <xf numFmtId="0" fontId="9" fillId="52" borderId="94" xfId="0" applyFont="1" applyFill="1" applyBorder="1" applyAlignment="1">
      <alignment horizontal="center"/>
    </xf>
    <xf numFmtId="0" fontId="9" fillId="53" borderId="95" xfId="0" applyFont="1" applyFill="1" applyBorder="1" applyAlignment="1">
      <alignment horizontal="center"/>
    </xf>
    <xf numFmtId="0" fontId="3" fillId="54" borderId="0" xfId="0" applyFont="1" applyFill="1" applyAlignment="1">
      <alignment vertical="center"/>
    </xf>
  </cellXfs>
  <cellStyles count="4">
    <cellStyle name="Hiperlink" xfId="1" builtinId="8" customBuiltin="1"/>
    <cellStyle name="Normal" xfId="0" builtinId="0" customBuiltin="1"/>
    <cellStyle name="Porcentagem" xfId="2" builtinId="5" customBuiltin="1"/>
    <cellStyle name="Vírgula" xfId="3" builtinId="3" customBuiltin="1"/>
  </cellStyles>
  <dxfs count="1">
    <dxf>
      <fill>
        <patternFill patternType="solid">
          <bgColor rgb="FFFF0000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8490794" count="1">
        <pm:charStyle name="Normal" fontId="0" Id="1"/>
      </pm:charStyles>
      <pm:colors xmlns:pm="smNativeData" id="1618490794" count="7">
        <pm:color name="Cor 24" rgb="C5D9F1"/>
        <pm:color name="Cor 25" rgb="EEECE1"/>
        <pm:color name="Cor 26" rgb="D8D8D8"/>
        <pm:color name="Cor 27" rgb="A5A5A5"/>
        <pm:color name="Cor 28" rgb="DDD9C4"/>
        <pm:color name="Cor 29" rgb="BFBFBF"/>
        <pm:color name="Cor 30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135890</xdr:colOff>
      <xdr:row>4</xdr:row>
      <xdr:rowOff>28575</xdr:rowOff>
    </xdr:from>
    <xdr:to>
      <xdr:col>0</xdr:col>
      <xdr:colOff>1420495</xdr:colOff>
      <xdr:row>6</xdr:row>
      <xdr:rowOff>66675</xdr:rowOff>
    </xdr:to>
    <xdr:pic>
      <xdr:nvPicPr>
        <xdr:cNvPr id="3" name="Picture 2"/>
        <xdr:cNvPicPr>
          <a:picLocks noChangeAspect="1"/>
          <a:extLst>
            <a:ext uri="smNativeData">
              <pm:smNativeData xmlns="" xmlns:pm="smNativeData" val="SMDATA_13_qjV4YB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IAAAD///8AAAAAAAAAAAAAAAAAAAAAAAAAAABkAAAAZAAAAAEAAAAjAAAABAAAAGQAAAAXAAAAFAAAAAAAAAAAAAAA/38AAP9/AAAAAAAACQAAAAQAAADYRxScDAAAABAAAAAAAAAAAAAAAAAAAAAAAAAAHgAAAGgAAAAAAAAAAAAAAAAAAAAAAAAAAAAAABAnAAAQJwAAAAAAAAAAAAAAAAAAAAAAAAAAAAAAAAAAAAAAAAAAAAAUAAAAAAAAAMDA/wAAAAAAZAAAADIAAAAAAAAAZAAAAAAAAAB/f38AAQAAACEAAAAwAAAALAAAAAQAAAAAAAAAqwAcAAYAAAAAAAAAkAElAdYAAADEBAAA5wcAAFYCAAAAAAAA"/>
            </a:ext>
          </a:extLst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890" y="774700"/>
          <a:ext cx="1284605" cy="37973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86995</xdr:colOff>
      <xdr:row>7</xdr:row>
      <xdr:rowOff>9525</xdr:rowOff>
    </xdr:from>
    <xdr:to>
      <xdr:col>0</xdr:col>
      <xdr:colOff>2123440</xdr:colOff>
      <xdr:row>9</xdr:row>
      <xdr:rowOff>57150</xdr:rowOff>
    </xdr:to>
    <xdr:pic>
      <xdr:nvPicPr>
        <xdr:cNvPr id="2" name="Picture 1"/>
        <xdr:cNvPicPr>
          <a:picLocks noChangeAspect="1"/>
          <a:extLst>
            <a:ext uri="smNativeData">
              <pm:smNativeData xmlns="" xmlns:pm="smNativeData" val="SMDATA_13_qjV4YB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IAAAD///8AAAAAAAAAAAAAAAAAAAAAAAAAAABkAAAAZAAAAAEAAAAjAAAABAAAAGQAAAAXAAAAFAAAAAAAAAAAAAAA/38AAP9/AAAAAAAACQAAAAQAAAC/HmZoDAAAABAAAAAAAAAAAAAAAAAAAAAAAAAAHgAAAGgAAAAAAAAAAAAAAAAAAAAAAAAAAAAAABAnAAAQJwAAAAAAAAAAAAAAAAAAAAAAAAAAAAAAAAAAAAAAAAAAAAAUAAAAAAAAAMDA/wAAAAAAZAAAADIAAAAAAAAAZAAAAAAAAAB/f38AAQAAACEAAAAwAAAALAAAAAcAAAAAAAAAOQASAAkAAAAAAAAAVwG2AYkAAADNBwAAhwwAAGUCAAAAAAAA"/>
            </a:ext>
          </a:extLst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995" y="1268095"/>
          <a:ext cx="2036445" cy="3892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0"/>
  <sheetViews>
    <sheetView topLeftCell="A226" workbookViewId="0">
      <selection activeCell="B1" sqref="B1"/>
    </sheetView>
  </sheetViews>
  <sheetFormatPr defaultRowHeight="12.75" x14ac:dyDescent="0.2"/>
  <cols>
    <col min="1" max="1" width="44.5703125" style="4" customWidth="1"/>
    <col min="2" max="2" width="16" style="4" customWidth="1"/>
    <col min="3" max="3" width="11.85546875" style="4" customWidth="1"/>
    <col min="4" max="4" width="14.7109375" style="6" customWidth="1"/>
    <col min="5" max="5" width="15.42578125" style="6" customWidth="1"/>
    <col min="6" max="6" width="13.28515625" style="6" customWidth="1"/>
    <col min="7" max="7" width="28.140625" style="6" customWidth="1"/>
    <col min="8" max="8" width="9.140625" style="4" customWidth="1"/>
    <col min="9" max="9" width="14.5703125" style="4" customWidth="1"/>
    <col min="10" max="10" width="13.42578125" style="4" customWidth="1"/>
    <col min="11" max="11" width="9.140625" style="4" customWidth="1"/>
    <col min="12" max="16384" width="9.140625" style="4"/>
  </cols>
  <sheetData>
    <row r="1" spans="1:7" ht="15.75" x14ac:dyDescent="0.2">
      <c r="A1" s="352" t="s">
        <v>281</v>
      </c>
    </row>
    <row r="2" spans="1:7" ht="16.5" customHeight="1" thickBot="1" x14ac:dyDescent="0.25">
      <c r="B2" s="5"/>
      <c r="C2" s="5"/>
    </row>
    <row r="3" spans="1:7" s="7" customFormat="1" ht="18" x14ac:dyDescent="0.2">
      <c r="A3" s="312" t="s">
        <v>270</v>
      </c>
      <c r="B3" s="313"/>
      <c r="C3" s="313"/>
      <c r="D3" s="313"/>
      <c r="E3" s="313"/>
      <c r="F3" s="314"/>
      <c r="G3" s="29"/>
    </row>
    <row r="4" spans="1:7" s="7" customFormat="1" ht="21.75" customHeight="1" x14ac:dyDescent="0.2">
      <c r="A4" s="315" t="s">
        <v>2</v>
      </c>
      <c r="B4" s="316"/>
      <c r="C4" s="316"/>
      <c r="D4" s="316"/>
      <c r="E4" s="316"/>
      <c r="F4" s="317"/>
      <c r="G4" s="29"/>
    </row>
    <row r="5" spans="1:7" ht="10.9" customHeight="1" x14ac:dyDescent="0.2">
      <c r="A5" s="107"/>
      <c r="B5" s="5"/>
      <c r="C5" s="5"/>
      <c r="F5" s="95"/>
    </row>
    <row r="6" spans="1:7" ht="15.75" customHeight="1" x14ac:dyDescent="0.2">
      <c r="A6" s="318" t="s">
        <v>3</v>
      </c>
      <c r="B6" s="319"/>
      <c r="C6" s="319"/>
      <c r="D6" s="319"/>
      <c r="E6" s="319"/>
      <c r="F6" s="320"/>
    </row>
    <row r="7" spans="1:7" ht="15.75" customHeight="1" x14ac:dyDescent="0.2">
      <c r="A7" s="47" t="s">
        <v>4</v>
      </c>
      <c r="B7" s="32"/>
      <c r="C7" s="32"/>
      <c r="D7" s="187"/>
      <c r="E7" s="81" t="s">
        <v>5</v>
      </c>
      <c r="F7" s="33" t="s">
        <v>6</v>
      </c>
    </row>
    <row r="8" spans="1:7" s="8" customFormat="1" ht="15.75" customHeight="1" x14ac:dyDescent="0.2">
      <c r="A8" s="89" t="str">
        <f>A45</f>
        <v>1. Mão-de-obra</v>
      </c>
      <c r="B8" s="90"/>
      <c r="C8" s="91"/>
      <c r="D8" s="91"/>
      <c r="E8" s="185">
        <f>F115</f>
        <v>0</v>
      </c>
      <c r="F8" s="92">
        <f>IFERROR(E8/$E$28,0)</f>
        <v>0</v>
      </c>
      <c r="G8" s="19"/>
    </row>
    <row r="9" spans="1:7" ht="15.75" customHeight="1" x14ac:dyDescent="0.2">
      <c r="A9" s="38" t="str">
        <f>A47</f>
        <v>1.1. Coletor Turno Dia</v>
      </c>
      <c r="B9" s="34"/>
      <c r="C9" s="36"/>
      <c r="D9" s="36"/>
      <c r="E9" s="186">
        <f>F55</f>
        <v>0</v>
      </c>
      <c r="F9" s="42">
        <f>IFERROR(E9/$E$28,0)</f>
        <v>0</v>
      </c>
    </row>
    <row r="10" spans="1:7" ht="15.75" customHeight="1" x14ac:dyDescent="0.2">
      <c r="A10" s="38" t="str">
        <f>A57</f>
        <v>1.2. Coletor Turno Noite</v>
      </c>
      <c r="B10" s="34"/>
      <c r="C10" s="36"/>
      <c r="D10" s="36"/>
      <c r="E10" s="186">
        <f>F67</f>
        <v>0</v>
      </c>
      <c r="F10" s="42">
        <f t="shared" ref="F10" si="0">IFERROR(E10/$E$28,0)</f>
        <v>0</v>
      </c>
    </row>
    <row r="11" spans="1:7" ht="15.75" customHeight="1" x14ac:dyDescent="0.2">
      <c r="A11" s="38" t="str">
        <f>A69</f>
        <v>1.3. Motorista Turno do Dia</v>
      </c>
      <c r="B11" s="34"/>
      <c r="C11" s="36"/>
      <c r="D11" s="36"/>
      <c r="E11" s="186">
        <f>F79</f>
        <v>0</v>
      </c>
      <c r="F11" s="42">
        <f t="shared" ref="F11:F27" si="1">IFERROR(E11/$E$28,0)</f>
        <v>0</v>
      </c>
    </row>
    <row r="12" spans="1:7" ht="15.75" customHeight="1" x14ac:dyDescent="0.2">
      <c r="A12" s="38" t="str">
        <f>A81</f>
        <v>1.4. Motorista Turno Noite</v>
      </c>
      <c r="B12" s="34"/>
      <c r="C12" s="36"/>
      <c r="D12" s="36"/>
      <c r="E12" s="186">
        <f>F93</f>
        <v>0</v>
      </c>
      <c r="F12" s="42">
        <f t="shared" si="1"/>
        <v>0</v>
      </c>
    </row>
    <row r="13" spans="1:7" ht="15.75" customHeight="1" x14ac:dyDescent="0.2">
      <c r="A13" s="38" t="str">
        <f>A95</f>
        <v>1.5. Vale Transporte</v>
      </c>
      <c r="B13" s="34"/>
      <c r="C13" s="36"/>
      <c r="D13" s="36"/>
      <c r="E13" s="186">
        <f>F101</f>
        <v>0</v>
      </c>
      <c r="F13" s="42">
        <f t="shared" si="1"/>
        <v>0</v>
      </c>
    </row>
    <row r="14" spans="1:7" ht="15.75" customHeight="1" x14ac:dyDescent="0.2">
      <c r="A14" s="38" t="str">
        <f>A103</f>
        <v>1.6. Vale-refeição (diário)</v>
      </c>
      <c r="B14" s="34"/>
      <c r="C14" s="36"/>
      <c r="D14" s="36"/>
      <c r="E14" s="186">
        <f>F107</f>
        <v>0</v>
      </c>
      <c r="F14" s="42">
        <f t="shared" si="1"/>
        <v>0</v>
      </c>
    </row>
    <row r="15" spans="1:7" ht="15.75" customHeight="1" x14ac:dyDescent="0.2">
      <c r="A15" s="38" t="str">
        <f>A109</f>
        <v>1.7. Auxílio Alimentação (mensal)</v>
      </c>
      <c r="B15" s="34"/>
      <c r="C15" s="36"/>
      <c r="D15" s="36"/>
      <c r="E15" s="186">
        <f>F113</f>
        <v>0</v>
      </c>
      <c r="F15" s="42">
        <f t="shared" si="1"/>
        <v>0</v>
      </c>
    </row>
    <row r="16" spans="1:7" s="8" customFormat="1" ht="15.75" customHeight="1" x14ac:dyDescent="0.2">
      <c r="A16" s="321" t="str">
        <f>A117</f>
        <v>2. Uniformes e Equipamentos de Proteção Individual</v>
      </c>
      <c r="B16" s="322"/>
      <c r="C16" s="322"/>
      <c r="D16" s="91"/>
      <c r="E16" s="185">
        <f>F144</f>
        <v>0</v>
      </c>
      <c r="F16" s="92">
        <f t="shared" si="1"/>
        <v>0</v>
      </c>
      <c r="G16" s="19"/>
    </row>
    <row r="17" spans="1:7" s="8" customFormat="1" ht="15.75" customHeight="1" x14ac:dyDescent="0.2">
      <c r="A17" s="100" t="str">
        <f>A146</f>
        <v>3. Veículos e Equipamentos</v>
      </c>
      <c r="B17" s="101"/>
      <c r="C17" s="91"/>
      <c r="D17" s="91"/>
      <c r="E17" s="185">
        <f>F213</f>
        <v>0</v>
      </c>
      <c r="F17" s="92">
        <f t="shared" si="1"/>
        <v>0</v>
      </c>
      <c r="G17" s="19"/>
    </row>
    <row r="18" spans="1:7" ht="15.75" customHeight="1" x14ac:dyDescent="0.2">
      <c r="A18" s="48" t="str">
        <f>A148</f>
        <v>3.1. Veículo Coletor 15 m³</v>
      </c>
      <c r="B18" s="35"/>
      <c r="C18" s="36"/>
      <c r="D18" s="36"/>
      <c r="E18" s="186">
        <f>SUM(E19:E24)</f>
        <v>0</v>
      </c>
      <c r="F18" s="42">
        <f t="shared" si="1"/>
        <v>0</v>
      </c>
    </row>
    <row r="19" spans="1:7" ht="15.75" customHeight="1" x14ac:dyDescent="0.2">
      <c r="A19" s="48" t="str">
        <f>A150</f>
        <v>3.1.1. Depreciação</v>
      </c>
      <c r="B19" s="35"/>
      <c r="C19" s="36"/>
      <c r="D19" s="36"/>
      <c r="E19" s="186">
        <f>F159</f>
        <v>0</v>
      </c>
      <c r="F19" s="42">
        <f t="shared" si="1"/>
        <v>0</v>
      </c>
    </row>
    <row r="20" spans="1:7" ht="15.75" customHeight="1" x14ac:dyDescent="0.2">
      <c r="A20" s="48" t="str">
        <f>A161</f>
        <v>3.1.2. Remuneração do Capital</v>
      </c>
      <c r="B20" s="35"/>
      <c r="C20" s="36"/>
      <c r="D20" s="36"/>
      <c r="E20" s="186">
        <f>F170</f>
        <v>0</v>
      </c>
      <c r="F20" s="42">
        <f t="shared" si="1"/>
        <v>0</v>
      </c>
    </row>
    <row r="21" spans="1:7" ht="15.75" customHeight="1" x14ac:dyDescent="0.2">
      <c r="A21" s="48" t="str">
        <f>A172</f>
        <v>3.1.3. Impostos e Seguros</v>
      </c>
      <c r="B21" s="35"/>
      <c r="C21" s="36"/>
      <c r="D21" s="36"/>
      <c r="E21" s="186">
        <f>F178</f>
        <v>0</v>
      </c>
      <c r="F21" s="42">
        <f t="shared" si="1"/>
        <v>0</v>
      </c>
    </row>
    <row r="22" spans="1:7" ht="15.75" customHeight="1" x14ac:dyDescent="0.2">
      <c r="A22" s="48" t="str">
        <f>A180</f>
        <v>3.1.4. Consumos</v>
      </c>
      <c r="B22" s="35"/>
      <c r="C22" s="36"/>
      <c r="D22" s="36"/>
      <c r="E22" s="186">
        <f>F196</f>
        <v>0</v>
      </c>
      <c r="F22" s="42">
        <f t="shared" si="1"/>
        <v>0</v>
      </c>
    </row>
    <row r="23" spans="1:7" ht="15.75" customHeight="1" x14ac:dyDescent="0.2">
      <c r="A23" s="48" t="str">
        <f>A198</f>
        <v>3.1.5. Manutenção</v>
      </c>
      <c r="B23" s="35"/>
      <c r="C23" s="36"/>
      <c r="D23" s="36"/>
      <c r="E23" s="186">
        <f>F201</f>
        <v>0</v>
      </c>
      <c r="F23" s="42">
        <f t="shared" si="1"/>
        <v>0</v>
      </c>
    </row>
    <row r="24" spans="1:7" ht="15.75" customHeight="1" x14ac:dyDescent="0.2">
      <c r="A24" s="48" t="str">
        <f>A203</f>
        <v>3.1.6. Pneus</v>
      </c>
      <c r="B24" s="35"/>
      <c r="C24" s="36"/>
      <c r="D24" s="36"/>
      <c r="E24" s="186">
        <f>F210</f>
        <v>0</v>
      </c>
      <c r="F24" s="42">
        <f t="shared" si="1"/>
        <v>0</v>
      </c>
    </row>
    <row r="25" spans="1:7" s="8" customFormat="1" ht="15.75" customHeight="1" x14ac:dyDescent="0.2">
      <c r="A25" s="100" t="str">
        <f>A215</f>
        <v>4. Ferramentas e Materiais de Consumo</v>
      </c>
      <c r="B25" s="101"/>
      <c r="C25" s="91"/>
      <c r="D25" s="91"/>
      <c r="E25" s="185">
        <f>F223</f>
        <v>0</v>
      </c>
      <c r="F25" s="92">
        <f t="shared" si="1"/>
        <v>0</v>
      </c>
      <c r="G25" s="19"/>
    </row>
    <row r="26" spans="1:7" s="8" customFormat="1" ht="15.75" customHeight="1" x14ac:dyDescent="0.2">
      <c r="A26" s="277" t="str">
        <f>A228</f>
        <v>5. Monitoramento da Frota</v>
      </c>
      <c r="B26" s="101"/>
      <c r="C26" s="91"/>
      <c r="D26" s="91"/>
      <c r="E26" s="299">
        <f>F237</f>
        <v>0</v>
      </c>
      <c r="F26" s="92">
        <f>IFERROR(E26/$E$28,0)</f>
        <v>0</v>
      </c>
      <c r="G26" s="19"/>
    </row>
    <row r="27" spans="1:7" s="8" customFormat="1" ht="15.75" customHeight="1" thickBot="1" x14ac:dyDescent="0.25">
      <c r="A27" s="300" t="str">
        <f>A239</f>
        <v>6. Benefícios e Despesas Indiretas - BDI</v>
      </c>
      <c r="B27" s="301"/>
      <c r="C27" s="302"/>
      <c r="D27" s="302"/>
      <c r="E27" s="303">
        <f>F245</f>
        <v>0</v>
      </c>
      <c r="F27" s="304">
        <f t="shared" si="1"/>
        <v>0</v>
      </c>
      <c r="G27" s="19"/>
    </row>
    <row r="28" spans="1:7" ht="28.5" customHeight="1" thickBot="1" x14ac:dyDescent="0.25">
      <c r="A28" s="305" t="s">
        <v>271</v>
      </c>
      <c r="B28" s="306"/>
      <c r="C28" s="307"/>
      <c r="D28" s="307"/>
      <c r="E28" s="308">
        <f>E8+E16+E17+E25+E27+E26</f>
        <v>0</v>
      </c>
      <c r="F28" s="309">
        <f>(F8+F16+F17+F25+F27+F26)</f>
        <v>0</v>
      </c>
    </row>
    <row r="31" spans="1:7" ht="15" customHeight="1" x14ac:dyDescent="0.2">
      <c r="A31" s="318" t="s">
        <v>7</v>
      </c>
      <c r="B31" s="319"/>
      <c r="C31" s="319"/>
      <c r="D31" s="319"/>
      <c r="E31" s="320"/>
    </row>
    <row r="32" spans="1:7" ht="15" customHeight="1" x14ac:dyDescent="0.2">
      <c r="A32" s="323" t="s">
        <v>8</v>
      </c>
      <c r="B32" s="324"/>
      <c r="C32" s="324"/>
      <c r="D32" s="325"/>
      <c r="E32" s="37" t="s">
        <v>9</v>
      </c>
    </row>
    <row r="33" spans="1:7" ht="15" customHeight="1" x14ac:dyDescent="0.2">
      <c r="A33" s="53" t="str">
        <f>A47</f>
        <v>1.1. Coletor Turno Dia</v>
      </c>
      <c r="B33" s="32"/>
      <c r="C33" s="32"/>
      <c r="D33" s="54"/>
      <c r="E33" s="55">
        <f>C54</f>
        <v>0</v>
      </c>
    </row>
    <row r="34" spans="1:7" ht="15" customHeight="1" x14ac:dyDescent="0.2">
      <c r="A34" s="38" t="str">
        <f>A57</f>
        <v>1.2. Coletor Turno Noite</v>
      </c>
      <c r="B34" s="36"/>
      <c r="C34" s="36"/>
      <c r="D34" s="56"/>
      <c r="E34" s="50">
        <f>C66</f>
        <v>0</v>
      </c>
    </row>
    <row r="35" spans="1:7" ht="15" customHeight="1" x14ac:dyDescent="0.2">
      <c r="A35" s="38" t="str">
        <f>A69</f>
        <v>1.3. Motorista Turno do Dia</v>
      </c>
      <c r="B35" s="36"/>
      <c r="C35" s="36"/>
      <c r="D35" s="56"/>
      <c r="E35" s="50">
        <f>C78</f>
        <v>1</v>
      </c>
    </row>
    <row r="36" spans="1:7" ht="15" customHeight="1" x14ac:dyDescent="0.2">
      <c r="A36" s="38" t="str">
        <f>A81</f>
        <v>1.4. Motorista Turno Noite</v>
      </c>
      <c r="B36" s="36"/>
      <c r="C36" s="36"/>
      <c r="D36" s="56"/>
      <c r="E36" s="50">
        <f>C92</f>
        <v>0</v>
      </c>
    </row>
    <row r="37" spans="1:7" ht="15" customHeight="1" x14ac:dyDescent="0.2">
      <c r="A37" s="51" t="s">
        <v>10</v>
      </c>
      <c r="B37" s="52"/>
      <c r="C37" s="52"/>
      <c r="D37" s="57"/>
      <c r="E37" s="58">
        <f>SUM(E33:E36)</f>
        <v>1</v>
      </c>
    </row>
    <row r="38" spans="1:7" ht="15" customHeight="1" x14ac:dyDescent="0.2">
      <c r="A38" s="93"/>
      <c r="B38" s="94"/>
      <c r="C38" s="6"/>
      <c r="E38" s="95"/>
    </row>
    <row r="39" spans="1:7" ht="15" customHeight="1" x14ac:dyDescent="0.2">
      <c r="A39" s="326" t="s">
        <v>11</v>
      </c>
      <c r="B39" s="327"/>
      <c r="C39" s="327"/>
      <c r="D39" s="327"/>
      <c r="E39" s="37" t="s">
        <v>9</v>
      </c>
      <c r="F39" s="4"/>
    </row>
    <row r="40" spans="1:7" ht="15" customHeight="1" x14ac:dyDescent="0.2">
      <c r="A40" s="96" t="str">
        <f>A148</f>
        <v>3.1. Veículo Coletor 15 m³</v>
      </c>
      <c r="B40" s="97"/>
      <c r="C40" s="97"/>
      <c r="D40" s="98"/>
      <c r="E40" s="99">
        <f>C158</f>
        <v>0</v>
      </c>
      <c r="F40" s="4"/>
    </row>
    <row r="41" spans="1:7" ht="15" customHeight="1" x14ac:dyDescent="0.2">
      <c r="A41" s="6"/>
      <c r="B41" s="6"/>
      <c r="C41" s="6"/>
      <c r="D41" s="4"/>
      <c r="E41" s="183"/>
      <c r="F41" s="4"/>
    </row>
    <row r="42" spans="1:7" x14ac:dyDescent="0.2">
      <c r="A42" s="6"/>
      <c r="B42" s="6"/>
      <c r="C42" s="6"/>
      <c r="D42" s="4"/>
      <c r="E42" s="49"/>
      <c r="F42" s="4"/>
    </row>
    <row r="43" spans="1:7" s="8" customFormat="1" ht="15.75" customHeight="1" x14ac:dyDescent="0.2">
      <c r="A43" s="188" t="s">
        <v>12</v>
      </c>
      <c r="B43" s="189"/>
      <c r="C43" s="19"/>
      <c r="E43" s="224"/>
      <c r="G43" s="19"/>
    </row>
    <row r="44" spans="1:7" ht="15.75" customHeight="1" x14ac:dyDescent="0.2">
      <c r="A44" s="6"/>
      <c r="B44" s="6"/>
      <c r="C44" s="6"/>
      <c r="D44" s="4"/>
      <c r="E44" s="49"/>
      <c r="F44" s="4"/>
    </row>
    <row r="45" spans="1:7" ht="13.15" customHeight="1" x14ac:dyDescent="0.2">
      <c r="A45" s="8" t="s">
        <v>13</v>
      </c>
    </row>
    <row r="46" spans="1:7" ht="11.25" customHeight="1" x14ac:dyDescent="0.2"/>
    <row r="47" spans="1:7" ht="13.9" customHeight="1" x14ac:dyDescent="0.2">
      <c r="A47" s="4" t="s">
        <v>14</v>
      </c>
    </row>
    <row r="48" spans="1:7" ht="13.9" customHeight="1" x14ac:dyDescent="0.2">
      <c r="A48" s="43" t="s">
        <v>15</v>
      </c>
      <c r="B48" s="44" t="s">
        <v>16</v>
      </c>
      <c r="C48" s="44" t="s">
        <v>9</v>
      </c>
      <c r="D48" s="45" t="s">
        <v>17</v>
      </c>
      <c r="E48" s="45" t="s">
        <v>18</v>
      </c>
      <c r="F48" s="46" t="s">
        <v>19</v>
      </c>
    </row>
    <row r="49" spans="1:6" ht="13.15" customHeight="1" x14ac:dyDescent="0.2">
      <c r="A49" s="10" t="s">
        <v>20</v>
      </c>
      <c r="B49" s="11" t="s">
        <v>21</v>
      </c>
      <c r="C49" s="11">
        <v>1</v>
      </c>
      <c r="D49" s="62"/>
      <c r="E49" s="12">
        <f>C49*D49</f>
        <v>0</v>
      </c>
    </row>
    <row r="50" spans="1:6" x14ac:dyDescent="0.2">
      <c r="A50" s="13" t="s">
        <v>23</v>
      </c>
      <c r="B50" s="14" t="s">
        <v>6</v>
      </c>
      <c r="C50" s="14">
        <v>40</v>
      </c>
      <c r="D50" s="15">
        <f>SUM(E49:E49)</f>
        <v>0</v>
      </c>
      <c r="E50" s="15">
        <f>C50*D50/100</f>
        <v>0</v>
      </c>
    </row>
    <row r="51" spans="1:6" x14ac:dyDescent="0.2">
      <c r="A51" s="82" t="s">
        <v>24</v>
      </c>
      <c r="B51" s="83"/>
      <c r="C51" s="83"/>
      <c r="D51" s="27"/>
      <c r="E51" s="84">
        <f>SUM(E49:E50)</f>
        <v>0</v>
      </c>
    </row>
    <row r="52" spans="1:6" x14ac:dyDescent="0.2">
      <c r="A52" s="13" t="s">
        <v>25</v>
      </c>
      <c r="B52" s="14" t="s">
        <v>6</v>
      </c>
      <c r="C52" s="102">
        <f>'2.Encargos Sociais'!$C$32*100</f>
        <v>70.595951999999997</v>
      </c>
      <c r="D52" s="15">
        <f>E51</f>
        <v>0</v>
      </c>
      <c r="E52" s="15">
        <f>D52*C52/100</f>
        <v>0</v>
      </c>
    </row>
    <row r="53" spans="1:6" x14ac:dyDescent="0.2">
      <c r="A53" s="82" t="s">
        <v>26</v>
      </c>
      <c r="B53" s="83"/>
      <c r="C53" s="83"/>
      <c r="D53" s="27"/>
      <c r="E53" s="84">
        <f>E51+E52</f>
        <v>0</v>
      </c>
    </row>
    <row r="54" spans="1:6" x14ac:dyDescent="0.2">
      <c r="A54" s="13" t="s">
        <v>27</v>
      </c>
      <c r="B54" s="14" t="s">
        <v>28</v>
      </c>
      <c r="C54" s="61"/>
      <c r="D54" s="15">
        <f>E53</f>
        <v>0</v>
      </c>
      <c r="E54" s="15">
        <f>C54*D54</f>
        <v>0</v>
      </c>
    </row>
    <row r="55" spans="1:6" ht="13.9" customHeight="1" x14ac:dyDescent="0.2">
      <c r="D55" s="87" t="s">
        <v>29</v>
      </c>
      <c r="E55" s="39">
        <f>$B$43</f>
        <v>0</v>
      </c>
      <c r="F55" s="88">
        <f>E54*E55</f>
        <v>0</v>
      </c>
    </row>
    <row r="56" spans="1:6" ht="11.25" customHeight="1" x14ac:dyDescent="0.2"/>
    <row r="57" spans="1:6" ht="13.5" thickBot="1" x14ac:dyDescent="0.25">
      <c r="A57" s="4" t="s">
        <v>30</v>
      </c>
    </row>
    <row r="58" spans="1:6" ht="13.5" thickBot="1" x14ac:dyDescent="0.25">
      <c r="A58" s="43" t="s">
        <v>15</v>
      </c>
      <c r="B58" s="44" t="s">
        <v>16</v>
      </c>
      <c r="C58" s="44" t="s">
        <v>9</v>
      </c>
      <c r="D58" s="45" t="s">
        <v>17</v>
      </c>
      <c r="E58" s="45" t="s">
        <v>18</v>
      </c>
      <c r="F58" s="46" t="s">
        <v>19</v>
      </c>
    </row>
    <row r="59" spans="1:6" x14ac:dyDescent="0.2">
      <c r="A59" s="10" t="s">
        <v>20</v>
      </c>
      <c r="B59" s="11" t="s">
        <v>21</v>
      </c>
      <c r="C59" s="11">
        <v>1</v>
      </c>
      <c r="D59" s="12">
        <f>D49</f>
        <v>0</v>
      </c>
      <c r="E59" s="12">
        <f>C59*D59</f>
        <v>0</v>
      </c>
    </row>
    <row r="60" spans="1:6" x14ac:dyDescent="0.2">
      <c r="A60" s="13" t="s">
        <v>31</v>
      </c>
      <c r="B60" s="14" t="s">
        <v>32</v>
      </c>
      <c r="C60" s="63"/>
      <c r="D60" s="15"/>
      <c r="E60" s="15"/>
    </row>
    <row r="61" spans="1:6" x14ac:dyDescent="0.2">
      <c r="A61" s="13"/>
      <c r="B61" s="14" t="s">
        <v>33</v>
      </c>
      <c r="C61" s="85">
        <f>C60*8/7</f>
        <v>0</v>
      </c>
      <c r="D61" s="15">
        <f>D59/220*0.2</f>
        <v>0</v>
      </c>
      <c r="E61" s="15">
        <f>C61*D61</f>
        <v>0</v>
      </c>
    </row>
    <row r="62" spans="1:6" x14ac:dyDescent="0.2">
      <c r="A62" s="13" t="s">
        <v>23</v>
      </c>
      <c r="B62" s="14" t="s">
        <v>6</v>
      </c>
      <c r="C62" s="14">
        <f>C50</f>
        <v>40</v>
      </c>
      <c r="D62" s="15">
        <f>SUM(E59:E61)</f>
        <v>0</v>
      </c>
      <c r="E62" s="15">
        <f>C62*D62/100</f>
        <v>0</v>
      </c>
    </row>
    <row r="63" spans="1:6" x14ac:dyDescent="0.2">
      <c r="A63" s="82" t="s">
        <v>24</v>
      </c>
      <c r="B63" s="83"/>
      <c r="C63" s="83"/>
      <c r="D63" s="27"/>
      <c r="E63" s="84">
        <f>SUM(E59:E62)</f>
        <v>0</v>
      </c>
    </row>
    <row r="64" spans="1:6" x14ac:dyDescent="0.2">
      <c r="A64" s="13" t="s">
        <v>25</v>
      </c>
      <c r="B64" s="14" t="s">
        <v>6</v>
      </c>
      <c r="C64" s="102">
        <f>'2.Encargos Sociais'!$C$32*100</f>
        <v>70.595951999999997</v>
      </c>
      <c r="D64" s="15">
        <f>E63</f>
        <v>0</v>
      </c>
      <c r="E64" s="15">
        <f>D64*C64/100</f>
        <v>0</v>
      </c>
    </row>
    <row r="65" spans="1:7" x14ac:dyDescent="0.2">
      <c r="A65" s="82" t="s">
        <v>26</v>
      </c>
      <c r="B65" s="83"/>
      <c r="C65" s="83"/>
      <c r="D65" s="27"/>
      <c r="E65" s="84">
        <f>E63+E64</f>
        <v>0</v>
      </c>
    </row>
    <row r="66" spans="1:7" ht="13.5" thickBot="1" x14ac:dyDescent="0.25">
      <c r="A66" s="13" t="s">
        <v>27</v>
      </c>
      <c r="B66" s="14" t="s">
        <v>28</v>
      </c>
      <c r="C66" s="265"/>
      <c r="D66" s="264">
        <f>E65</f>
        <v>0</v>
      </c>
      <c r="E66" s="15">
        <f>C66*D66</f>
        <v>0</v>
      </c>
    </row>
    <row r="67" spans="1:7" ht="13.5" thickBot="1" x14ac:dyDescent="0.25">
      <c r="C67" s="329" t="s">
        <v>29</v>
      </c>
      <c r="D67" s="330"/>
      <c r="E67" s="184">
        <f>$B$43</f>
        <v>0</v>
      </c>
      <c r="F67" s="88">
        <f>E66*E67</f>
        <v>0</v>
      </c>
    </row>
    <row r="68" spans="1:7" ht="11.25" customHeight="1" x14ac:dyDescent="0.2"/>
    <row r="69" spans="1:7" ht="13.5" thickBot="1" x14ac:dyDescent="0.25">
      <c r="A69" s="4" t="s">
        <v>34</v>
      </c>
    </row>
    <row r="70" spans="1:7" s="9" customFormat="1" ht="13.15" customHeight="1" x14ac:dyDescent="0.2">
      <c r="A70" s="43" t="s">
        <v>15</v>
      </c>
      <c r="B70" s="44" t="s">
        <v>16</v>
      </c>
      <c r="C70" s="44" t="s">
        <v>9</v>
      </c>
      <c r="D70" s="45" t="s">
        <v>17</v>
      </c>
      <c r="E70" s="45" t="s">
        <v>18</v>
      </c>
      <c r="F70" s="46" t="s">
        <v>19</v>
      </c>
      <c r="G70" s="6"/>
    </row>
    <row r="71" spans="1:7" x14ac:dyDescent="0.2">
      <c r="A71" s="10" t="s">
        <v>35</v>
      </c>
      <c r="B71" s="11" t="s">
        <v>21</v>
      </c>
      <c r="C71" s="11">
        <v>1</v>
      </c>
      <c r="D71" s="62"/>
      <c r="E71" s="12">
        <f>C71*D71</f>
        <v>0</v>
      </c>
    </row>
    <row r="72" spans="1:7" x14ac:dyDescent="0.2">
      <c r="A72" s="10" t="s">
        <v>36</v>
      </c>
      <c r="B72" s="11" t="s">
        <v>21</v>
      </c>
      <c r="C72" s="11">
        <v>1</v>
      </c>
      <c r="D72" s="62"/>
      <c r="E72" s="12"/>
    </row>
    <row r="73" spans="1:7" x14ac:dyDescent="0.2">
      <c r="A73" s="13" t="s">
        <v>37</v>
      </c>
      <c r="B73" s="14"/>
      <c r="C73" s="65"/>
      <c r="D73" s="15"/>
      <c r="E73" s="15"/>
    </row>
    <row r="74" spans="1:7" x14ac:dyDescent="0.2">
      <c r="A74" s="13" t="s">
        <v>23</v>
      </c>
      <c r="B74" s="14" t="s">
        <v>6</v>
      </c>
      <c r="C74" s="61"/>
      <c r="D74" s="15">
        <f>IF(C73=2,SUM(E71:E72),IF(C73=1,(SUM(E71:E72))*D72/D71,0))</f>
        <v>0</v>
      </c>
      <c r="E74" s="15">
        <f>C74*D74/100</f>
        <v>0</v>
      </c>
    </row>
    <row r="75" spans="1:7" s="8" customFormat="1" x14ac:dyDescent="0.2">
      <c r="A75" s="72" t="s">
        <v>24</v>
      </c>
      <c r="B75" s="83"/>
      <c r="C75" s="83"/>
      <c r="D75" s="27"/>
      <c r="E75" s="74">
        <f>SUM(E71:E74)</f>
        <v>0</v>
      </c>
      <c r="F75" s="19"/>
      <c r="G75" s="19"/>
    </row>
    <row r="76" spans="1:7" x14ac:dyDescent="0.2">
      <c r="A76" s="13" t="s">
        <v>25</v>
      </c>
      <c r="B76" s="14" t="s">
        <v>6</v>
      </c>
      <c r="C76" s="102">
        <f>'2.Encargos Sociais'!$C$32*100</f>
        <v>70.595951999999997</v>
      </c>
      <c r="D76" s="15">
        <f>E75</f>
        <v>0</v>
      </c>
      <c r="E76" s="15">
        <f>D76*C76/100</f>
        <v>0</v>
      </c>
    </row>
    <row r="77" spans="1:7" s="8" customFormat="1" x14ac:dyDescent="0.2">
      <c r="A77" s="72" t="s">
        <v>38</v>
      </c>
      <c r="B77" s="195"/>
      <c r="C77" s="195"/>
      <c r="D77" s="196"/>
      <c r="E77" s="74">
        <f>E75+E76</f>
        <v>0</v>
      </c>
      <c r="F77" s="19"/>
      <c r="G77" s="19"/>
    </row>
    <row r="78" spans="1:7" ht="13.5" thickBot="1" x14ac:dyDescent="0.25">
      <c r="A78" s="13" t="s">
        <v>27</v>
      </c>
      <c r="B78" s="14" t="s">
        <v>28</v>
      </c>
      <c r="C78" s="265">
        <v>1</v>
      </c>
      <c r="D78" s="264">
        <f>E77</f>
        <v>0</v>
      </c>
      <c r="E78" s="15">
        <f>C78*D78</f>
        <v>0</v>
      </c>
    </row>
    <row r="79" spans="1:7" ht="13.5" thickBot="1" x14ac:dyDescent="0.25">
      <c r="C79" s="328" t="s">
        <v>29</v>
      </c>
      <c r="D79" s="328"/>
      <c r="E79" s="184">
        <f>$B$43</f>
        <v>0</v>
      </c>
      <c r="F79" s="88">
        <f>E78*E79</f>
        <v>0</v>
      </c>
    </row>
    <row r="80" spans="1:7" ht="11.25" customHeight="1" x14ac:dyDescent="0.2"/>
    <row r="81" spans="1:7" ht="13.5" thickBot="1" x14ac:dyDescent="0.25">
      <c r="A81" s="4" t="s">
        <v>39</v>
      </c>
    </row>
    <row r="82" spans="1:7" ht="13.5" thickBot="1" x14ac:dyDescent="0.25">
      <c r="A82" s="43" t="s">
        <v>15</v>
      </c>
      <c r="B82" s="44" t="s">
        <v>16</v>
      </c>
      <c r="C82" s="44" t="s">
        <v>9</v>
      </c>
      <c r="D82" s="45" t="s">
        <v>17</v>
      </c>
      <c r="E82" s="45" t="s">
        <v>18</v>
      </c>
      <c r="F82" s="46" t="s">
        <v>19</v>
      </c>
    </row>
    <row r="83" spans="1:7" x14ac:dyDescent="0.2">
      <c r="A83" s="10" t="s">
        <v>35</v>
      </c>
      <c r="B83" s="11" t="s">
        <v>21</v>
      </c>
      <c r="C83" s="11">
        <v>1</v>
      </c>
      <c r="D83" s="12">
        <f>D71</f>
        <v>0</v>
      </c>
      <c r="E83" s="12">
        <f>C83*D83</f>
        <v>0</v>
      </c>
    </row>
    <row r="84" spans="1:7" x14ac:dyDescent="0.2">
      <c r="A84" s="10" t="s">
        <v>36</v>
      </c>
      <c r="B84" s="11" t="s">
        <v>21</v>
      </c>
      <c r="C84" s="11">
        <v>1</v>
      </c>
      <c r="D84" s="15">
        <f>D72</f>
        <v>0</v>
      </c>
      <c r="E84" s="15"/>
    </row>
    <row r="85" spans="1:7" x14ac:dyDescent="0.2">
      <c r="A85" s="13" t="s">
        <v>31</v>
      </c>
      <c r="B85" s="14" t="s">
        <v>32</v>
      </c>
      <c r="C85" s="63"/>
      <c r="D85" s="13"/>
      <c r="E85" s="13"/>
    </row>
    <row r="86" spans="1:7" x14ac:dyDescent="0.2">
      <c r="A86" s="13"/>
      <c r="B86" s="14" t="s">
        <v>33</v>
      </c>
      <c r="C86" s="15">
        <f>C85*8/7</f>
        <v>0</v>
      </c>
      <c r="D86" s="15">
        <f>D83/220*0.2</f>
        <v>0</v>
      </c>
      <c r="E86" s="15">
        <f>C86*D86</f>
        <v>0</v>
      </c>
    </row>
    <row r="87" spans="1:7" x14ac:dyDescent="0.2">
      <c r="A87" s="13" t="s">
        <v>37</v>
      </c>
      <c r="B87" s="14"/>
      <c r="C87" s="65"/>
      <c r="D87" s="15"/>
      <c r="E87" s="15"/>
    </row>
    <row r="88" spans="1:7" x14ac:dyDescent="0.2">
      <c r="A88" s="13" t="s">
        <v>23</v>
      </c>
      <c r="B88" s="14" t="s">
        <v>6</v>
      </c>
      <c r="C88" s="15">
        <f>C74</f>
        <v>0</v>
      </c>
      <c r="D88" s="15">
        <f>IF(C87=2,SUM(E83:E86),IF(C87=1,SUM(E83:E86)*D84/D83,0))</f>
        <v>0</v>
      </c>
      <c r="E88" s="15">
        <f>C88*D88/100</f>
        <v>0</v>
      </c>
    </row>
    <row r="89" spans="1:7" s="8" customFormat="1" x14ac:dyDescent="0.2">
      <c r="A89" s="82" t="s">
        <v>24</v>
      </c>
      <c r="B89" s="83"/>
      <c r="C89" s="83"/>
      <c r="D89" s="27"/>
      <c r="E89" s="84">
        <f>SUM(E83:E88)</f>
        <v>0</v>
      </c>
      <c r="F89" s="19"/>
      <c r="G89" s="19"/>
    </row>
    <row r="90" spans="1:7" x14ac:dyDescent="0.2">
      <c r="A90" s="13" t="s">
        <v>25</v>
      </c>
      <c r="B90" s="14" t="s">
        <v>6</v>
      </c>
      <c r="C90" s="102">
        <f>'2.Encargos Sociais'!$C$32*100</f>
        <v>70.595951999999997</v>
      </c>
      <c r="D90" s="15">
        <f>E89</f>
        <v>0</v>
      </c>
      <c r="E90" s="15">
        <f>D90*C90/100</f>
        <v>0</v>
      </c>
    </row>
    <row r="91" spans="1:7" s="8" customFormat="1" x14ac:dyDescent="0.2">
      <c r="A91" s="82" t="s">
        <v>38</v>
      </c>
      <c r="B91" s="83"/>
      <c r="C91" s="83"/>
      <c r="D91" s="27"/>
      <c r="E91" s="84">
        <f>E89+E90</f>
        <v>0</v>
      </c>
      <c r="F91" s="19"/>
      <c r="G91" s="19"/>
    </row>
    <row r="92" spans="1:7" ht="13.5" thickBot="1" x14ac:dyDescent="0.25">
      <c r="A92" s="13" t="s">
        <v>27</v>
      </c>
      <c r="B92" s="14" t="s">
        <v>28</v>
      </c>
      <c r="C92" s="265"/>
      <c r="D92" s="264">
        <f>E91</f>
        <v>0</v>
      </c>
      <c r="E92" s="15">
        <f>C92*D92</f>
        <v>0</v>
      </c>
    </row>
    <row r="93" spans="1:7" ht="13.5" thickBot="1" x14ac:dyDescent="0.25">
      <c r="C93" s="329" t="s">
        <v>29</v>
      </c>
      <c r="D93" s="330"/>
      <c r="E93" s="184">
        <f>$B$43</f>
        <v>0</v>
      </c>
      <c r="F93" s="88">
        <f>E92*E93</f>
        <v>0</v>
      </c>
    </row>
    <row r="94" spans="1:7" ht="11.25" customHeight="1" x14ac:dyDescent="0.2">
      <c r="G94" s="4"/>
    </row>
    <row r="95" spans="1:7" x14ac:dyDescent="0.2">
      <c r="A95" s="4" t="s">
        <v>40</v>
      </c>
      <c r="B95" s="68"/>
      <c r="D95" s="4"/>
      <c r="E95" s="4"/>
      <c r="G95" s="4"/>
    </row>
    <row r="96" spans="1:7" x14ac:dyDescent="0.2">
      <c r="A96" s="43" t="s">
        <v>15</v>
      </c>
      <c r="B96" s="44" t="s">
        <v>16</v>
      </c>
      <c r="C96" s="44" t="s">
        <v>9</v>
      </c>
      <c r="D96" s="45" t="s">
        <v>17</v>
      </c>
      <c r="E96" s="45" t="s">
        <v>18</v>
      </c>
      <c r="F96" s="46" t="s">
        <v>19</v>
      </c>
      <c r="G96" s="4"/>
    </row>
    <row r="97" spans="1:7" x14ac:dyDescent="0.2">
      <c r="A97" s="13" t="s">
        <v>41</v>
      </c>
      <c r="B97" s="14" t="s">
        <v>22</v>
      </c>
      <c r="C97" s="69">
        <v>1</v>
      </c>
      <c r="D97" s="67"/>
      <c r="E97" s="15"/>
      <c r="G97"/>
    </row>
    <row r="98" spans="1:7" x14ac:dyDescent="0.2">
      <c r="A98" s="13" t="s">
        <v>42</v>
      </c>
      <c r="B98" s="14" t="s">
        <v>43</v>
      </c>
      <c r="C98" s="66"/>
      <c r="D98" s="15"/>
      <c r="E98" s="15"/>
      <c r="G98" s="4"/>
    </row>
    <row r="99" spans="1:7" x14ac:dyDescent="0.2">
      <c r="A99" s="13" t="s">
        <v>44</v>
      </c>
      <c r="B99" s="14" t="s">
        <v>45</v>
      </c>
      <c r="C99" s="30">
        <f>$C$98*2*(C54+C66)</f>
        <v>0</v>
      </c>
      <c r="D99" s="12" t="str">
        <f>IFERROR((($C$98*2*$D$97)-(E49*0.06*C98/26))/($C$98*2),"-")</f>
        <v>-</v>
      </c>
      <c r="E99" s="15" t="str">
        <f>IFERROR(C99*D99,"-")</f>
        <v>-</v>
      </c>
      <c r="G99" s="4">
        <f>(D83*6%)/30</f>
        <v>0</v>
      </c>
    </row>
    <row r="100" spans="1:7" x14ac:dyDescent="0.2">
      <c r="A100" s="10" t="s">
        <v>46</v>
      </c>
      <c r="B100" s="11" t="s">
        <v>45</v>
      </c>
      <c r="C100" s="30">
        <f>$C$98*2*(C78+C92)</f>
        <v>0</v>
      </c>
      <c r="D100" s="12" t="str">
        <f>IFERROR((($C$98*2*$D$97)-(E71*0.06*C98/26))/($C$98*2),"-")</f>
        <v>-</v>
      </c>
      <c r="E100" s="12" t="str">
        <f>IFERROR(C100*D100,"-")</f>
        <v>-</v>
      </c>
      <c r="G100" s="4"/>
    </row>
    <row r="101" spans="1:7" x14ac:dyDescent="0.2">
      <c r="F101" s="18">
        <f>SUM(E99:E100)</f>
        <v>0</v>
      </c>
      <c r="G101" s="4"/>
    </row>
    <row r="102" spans="1:7" ht="11.25" customHeight="1" x14ac:dyDescent="0.2">
      <c r="G102" s="4"/>
    </row>
    <row r="103" spans="1:7" x14ac:dyDescent="0.2">
      <c r="A103" s="4" t="s">
        <v>47</v>
      </c>
      <c r="F103" s="19"/>
      <c r="G103" s="4"/>
    </row>
    <row r="104" spans="1:7" x14ac:dyDescent="0.2">
      <c r="A104" s="43" t="s">
        <v>15</v>
      </c>
      <c r="B104" s="44" t="s">
        <v>16</v>
      </c>
      <c r="C104" s="44" t="s">
        <v>9</v>
      </c>
      <c r="D104" s="45" t="s">
        <v>17</v>
      </c>
      <c r="E104" s="45" t="s">
        <v>18</v>
      </c>
      <c r="F104" s="46" t="s">
        <v>19</v>
      </c>
      <c r="G104" s="4"/>
    </row>
    <row r="105" spans="1:7" x14ac:dyDescent="0.2">
      <c r="A105" s="13" t="str">
        <f>A99</f>
        <v>Coletor</v>
      </c>
      <c r="B105" s="14" t="s">
        <v>48</v>
      </c>
      <c r="C105" s="30">
        <f>C98*(E33+E34)</f>
        <v>0</v>
      </c>
      <c r="D105" s="64"/>
      <c r="E105" s="39">
        <f>C105*D105</f>
        <v>0</v>
      </c>
      <c r="F105" s="19"/>
      <c r="G105" s="240"/>
    </row>
    <row r="106" spans="1:7" x14ac:dyDescent="0.2">
      <c r="A106" s="13" t="str">
        <f>A100</f>
        <v>Motorista</v>
      </c>
      <c r="B106" s="14" t="s">
        <v>48</v>
      </c>
      <c r="C106" s="30">
        <f>C98*(E35+E36)</f>
        <v>0</v>
      </c>
      <c r="D106" s="64"/>
      <c r="E106" s="39">
        <f>C106*D106</f>
        <v>0</v>
      </c>
      <c r="F106" s="19"/>
      <c r="G106" s="240"/>
    </row>
    <row r="107" spans="1:7" x14ac:dyDescent="0.2">
      <c r="F107" s="18">
        <f>SUM(E105:E106)</f>
        <v>0</v>
      </c>
      <c r="G107" s="241"/>
    </row>
    <row r="108" spans="1:7" x14ac:dyDescent="0.2">
      <c r="G108" s="241"/>
    </row>
    <row r="109" spans="1:7" x14ac:dyDescent="0.2">
      <c r="A109" s="4" t="s">
        <v>49</v>
      </c>
      <c r="F109" s="19"/>
      <c r="G109" s="241"/>
    </row>
    <row r="110" spans="1:7" x14ac:dyDescent="0.2">
      <c r="A110" s="43" t="s">
        <v>15</v>
      </c>
      <c r="B110" s="44" t="s">
        <v>16</v>
      </c>
      <c r="C110" s="44" t="s">
        <v>9</v>
      </c>
      <c r="D110" s="45" t="s">
        <v>17</v>
      </c>
      <c r="E110" s="45" t="s">
        <v>18</v>
      </c>
      <c r="F110" s="46" t="s">
        <v>19</v>
      </c>
      <c r="G110" s="241"/>
    </row>
    <row r="111" spans="1:7" x14ac:dyDescent="0.2">
      <c r="A111" s="13" t="str">
        <f>A105</f>
        <v>Coletor</v>
      </c>
      <c r="B111" s="14" t="s">
        <v>48</v>
      </c>
      <c r="C111" s="30">
        <f>E33+E34</f>
        <v>0</v>
      </c>
      <c r="D111" s="64">
        <v>0</v>
      </c>
      <c r="E111" s="39">
        <f>C111*D111</f>
        <v>0</v>
      </c>
      <c r="F111" s="19"/>
      <c r="G111" s="240"/>
    </row>
    <row r="112" spans="1:7" ht="13.5" thickBot="1" x14ac:dyDescent="0.25">
      <c r="A112" s="13" t="str">
        <f>A106</f>
        <v>Motorista</v>
      </c>
      <c r="B112" s="14" t="s">
        <v>48</v>
      </c>
      <c r="C112" s="266">
        <f>E35+E36</f>
        <v>1</v>
      </c>
      <c r="D112" s="267"/>
      <c r="E112" s="39">
        <f>C112*D112</f>
        <v>0</v>
      </c>
      <c r="F112" s="19"/>
      <c r="G112" s="240"/>
    </row>
    <row r="113" spans="1:7" ht="13.5" thickBot="1" x14ac:dyDescent="0.25">
      <c r="C113" s="328" t="s">
        <v>29</v>
      </c>
      <c r="D113" s="328"/>
      <c r="E113" s="184">
        <f>$B$43</f>
        <v>0</v>
      </c>
      <c r="F113" s="18">
        <f>SUM(E111:E112)*E113</f>
        <v>0</v>
      </c>
      <c r="G113" s="4"/>
    </row>
    <row r="114" spans="1:7" ht="13.5" thickBot="1" x14ac:dyDescent="0.25">
      <c r="G114" s="4"/>
    </row>
    <row r="115" spans="1:7" x14ac:dyDescent="0.2">
      <c r="A115" s="20" t="s">
        <v>50</v>
      </c>
      <c r="B115" s="21"/>
      <c r="C115" s="21"/>
      <c r="D115" s="22"/>
      <c r="E115" s="23"/>
      <c r="F115" s="18">
        <f>F113+F107+F101+F93+F79+F67+F55</f>
        <v>0</v>
      </c>
      <c r="G115" s="4"/>
    </row>
    <row r="117" spans="1:7" x14ac:dyDescent="0.2">
      <c r="A117" s="8" t="s">
        <v>51</v>
      </c>
      <c r="G117" s="4"/>
    </row>
    <row r="118" spans="1:7" ht="11.25" customHeight="1" x14ac:dyDescent="0.2">
      <c r="G118" s="4"/>
    </row>
    <row r="119" spans="1:7" ht="13.9" customHeight="1" x14ac:dyDescent="0.2">
      <c r="A119" s="4" t="s">
        <v>52</v>
      </c>
      <c r="G119" s="4"/>
    </row>
    <row r="120" spans="1:7" ht="11.25" customHeight="1" x14ac:dyDescent="0.2">
      <c r="G120" s="4"/>
    </row>
    <row r="121" spans="1:7" ht="27.75" customHeight="1" x14ac:dyDescent="0.2">
      <c r="A121" s="43" t="s">
        <v>15</v>
      </c>
      <c r="B121" s="44" t="s">
        <v>16</v>
      </c>
      <c r="C121" s="197" t="s">
        <v>53</v>
      </c>
      <c r="D121" s="45" t="s">
        <v>17</v>
      </c>
      <c r="E121" s="45" t="s">
        <v>18</v>
      </c>
      <c r="F121" s="46" t="s">
        <v>19</v>
      </c>
      <c r="G121" s="4"/>
    </row>
    <row r="122" spans="1:7" x14ac:dyDescent="0.2">
      <c r="A122" s="10" t="s">
        <v>54</v>
      </c>
      <c r="B122" s="11" t="s">
        <v>48</v>
      </c>
      <c r="C122" s="228"/>
      <c r="D122" s="62"/>
      <c r="E122" s="12">
        <f t="shared" ref="E122:E129" si="2">IFERROR(D122/C122,0)</f>
        <v>0</v>
      </c>
      <c r="G122" s="4"/>
    </row>
    <row r="123" spans="1:7" ht="13.15" customHeight="1" x14ac:dyDescent="0.2">
      <c r="A123" s="13" t="s">
        <v>55</v>
      </c>
      <c r="B123" s="14" t="s">
        <v>48</v>
      </c>
      <c r="C123" s="228"/>
      <c r="D123" s="62"/>
      <c r="E123" s="12">
        <f t="shared" si="2"/>
        <v>0</v>
      </c>
      <c r="G123" s="4"/>
    </row>
    <row r="124" spans="1:7" x14ac:dyDescent="0.2">
      <c r="A124" s="13" t="s">
        <v>56</v>
      </c>
      <c r="B124" s="14" t="s">
        <v>48</v>
      </c>
      <c r="C124" s="228"/>
      <c r="D124" s="62"/>
      <c r="E124" s="12">
        <f t="shared" si="2"/>
        <v>0</v>
      </c>
      <c r="G124" s="4"/>
    </row>
    <row r="125" spans="1:7" ht="13.9" customHeight="1" x14ac:dyDescent="0.2">
      <c r="A125" s="13" t="s">
        <v>57</v>
      </c>
      <c r="B125" s="14" t="s">
        <v>58</v>
      </c>
      <c r="C125" s="228"/>
      <c r="D125" s="62"/>
      <c r="E125" s="12">
        <f t="shared" si="2"/>
        <v>0</v>
      </c>
      <c r="G125" s="4"/>
    </row>
    <row r="126" spans="1:7" ht="13.15" customHeight="1" x14ac:dyDescent="0.2">
      <c r="A126" s="13" t="s">
        <v>59</v>
      </c>
      <c r="B126" s="14" t="s">
        <v>58</v>
      </c>
      <c r="C126" s="228"/>
      <c r="D126" s="62"/>
      <c r="E126" s="12">
        <f t="shared" si="2"/>
        <v>0</v>
      </c>
    </row>
    <row r="127" spans="1:7" x14ac:dyDescent="0.2">
      <c r="A127" s="2" t="s">
        <v>60</v>
      </c>
      <c r="B127" s="3" t="s">
        <v>48</v>
      </c>
      <c r="C127" s="228"/>
      <c r="D127" s="62"/>
      <c r="E127" s="12">
        <f t="shared" si="2"/>
        <v>0</v>
      </c>
      <c r="F127" s="1"/>
      <c r="G127" s="1"/>
    </row>
    <row r="128" spans="1:7" x14ac:dyDescent="0.2">
      <c r="A128" s="13" t="s">
        <v>61</v>
      </c>
      <c r="B128" s="14" t="s">
        <v>58</v>
      </c>
      <c r="C128" s="71"/>
      <c r="D128" s="62"/>
      <c r="E128" s="12">
        <f t="shared" si="2"/>
        <v>0</v>
      </c>
    </row>
    <row r="129" spans="1:7" ht="13.15" customHeight="1" x14ac:dyDescent="0.2">
      <c r="A129" s="13" t="s">
        <v>62</v>
      </c>
      <c r="B129" s="14" t="s">
        <v>63</v>
      </c>
      <c r="C129" s="228"/>
      <c r="D129" s="62"/>
      <c r="E129" s="12">
        <f t="shared" si="2"/>
        <v>0</v>
      </c>
    </row>
    <row r="130" spans="1:7" ht="13.5" thickBot="1" x14ac:dyDescent="0.25">
      <c r="A130" s="13" t="s">
        <v>27</v>
      </c>
      <c r="B130" s="14" t="s">
        <v>28</v>
      </c>
      <c r="C130" s="268">
        <f>E33+E34</f>
        <v>0</v>
      </c>
      <c r="D130" s="264">
        <f>SUM(E122:E129)</f>
        <v>0</v>
      </c>
      <c r="E130" s="15">
        <f>C130*D130</f>
        <v>0</v>
      </c>
    </row>
    <row r="131" spans="1:7" ht="13.5" thickBot="1" x14ac:dyDescent="0.25">
      <c r="C131" s="328" t="s">
        <v>29</v>
      </c>
      <c r="D131" s="328"/>
      <c r="E131" s="184">
        <f>$B$43</f>
        <v>0</v>
      </c>
      <c r="F131" s="88">
        <f>E130*E131</f>
        <v>0</v>
      </c>
    </row>
    <row r="132" spans="1:7" ht="11.25" customHeight="1" x14ac:dyDescent="0.2"/>
    <row r="133" spans="1:7" ht="13.9" customHeight="1" x14ac:dyDescent="0.2">
      <c r="A133" s="4" t="s">
        <v>64</v>
      </c>
    </row>
    <row r="134" spans="1:7" ht="11.25" customHeight="1" x14ac:dyDescent="0.2"/>
    <row r="135" spans="1:7" ht="24" x14ac:dyDescent="0.2">
      <c r="A135" s="43" t="s">
        <v>15</v>
      </c>
      <c r="B135" s="44" t="s">
        <v>16</v>
      </c>
      <c r="C135" s="197" t="s">
        <v>53</v>
      </c>
      <c r="D135" s="45" t="s">
        <v>17</v>
      </c>
      <c r="E135" s="45" t="s">
        <v>18</v>
      </c>
      <c r="F135" s="46" t="s">
        <v>19</v>
      </c>
      <c r="G135" s="246"/>
    </row>
    <row r="136" spans="1:7" x14ac:dyDescent="0.2">
      <c r="A136" s="10" t="s">
        <v>54</v>
      </c>
      <c r="B136" s="11" t="s">
        <v>48</v>
      </c>
      <c r="C136" s="228"/>
      <c r="D136" s="12">
        <f>D122</f>
        <v>0</v>
      </c>
      <c r="E136" s="12">
        <f t="shared" ref="E136:E140" si="3">IFERROR(D136/C136,0)</f>
        <v>0</v>
      </c>
      <c r="G136" s="246"/>
    </row>
    <row r="137" spans="1:7" x14ac:dyDescent="0.2">
      <c r="A137" s="13" t="s">
        <v>55</v>
      </c>
      <c r="B137" s="14" t="s">
        <v>48</v>
      </c>
      <c r="C137" s="228"/>
      <c r="D137" s="15">
        <f>D123</f>
        <v>0</v>
      </c>
      <c r="E137" s="12">
        <f t="shared" si="3"/>
        <v>0</v>
      </c>
      <c r="G137" s="246"/>
    </row>
    <row r="138" spans="1:7" x14ac:dyDescent="0.2">
      <c r="A138" s="13" t="s">
        <v>56</v>
      </c>
      <c r="B138" s="14" t="s">
        <v>48</v>
      </c>
      <c r="C138" s="228"/>
      <c r="D138" s="15">
        <f>D124</f>
        <v>0</v>
      </c>
      <c r="E138" s="12">
        <f t="shared" si="3"/>
        <v>0</v>
      </c>
      <c r="G138" s="246"/>
    </row>
    <row r="139" spans="1:7" x14ac:dyDescent="0.2">
      <c r="A139" s="13" t="s">
        <v>57</v>
      </c>
      <c r="B139" s="14" t="s">
        <v>58</v>
      </c>
      <c r="C139" s="228"/>
      <c r="D139" s="15">
        <f>D125</f>
        <v>0</v>
      </c>
      <c r="E139" s="12">
        <f t="shared" si="3"/>
        <v>0</v>
      </c>
      <c r="G139" s="246"/>
    </row>
    <row r="140" spans="1:7" x14ac:dyDescent="0.2">
      <c r="A140" s="13" t="s">
        <v>62</v>
      </c>
      <c r="B140" s="14" t="s">
        <v>63</v>
      </c>
      <c r="C140" s="228"/>
      <c r="D140" s="15">
        <f>D129</f>
        <v>0</v>
      </c>
      <c r="E140" s="12">
        <f t="shared" si="3"/>
        <v>0</v>
      </c>
      <c r="G140" s="247"/>
    </row>
    <row r="141" spans="1:7" ht="13.5" thickBot="1" x14ac:dyDescent="0.25">
      <c r="A141" s="13" t="s">
        <v>27</v>
      </c>
      <c r="B141" s="14" t="s">
        <v>28</v>
      </c>
      <c r="C141" s="268">
        <f>E35+E36</f>
        <v>1</v>
      </c>
      <c r="D141" s="264">
        <f>SUM(E136:E140)</f>
        <v>0</v>
      </c>
      <c r="E141" s="15">
        <f>C141*D141</f>
        <v>0</v>
      </c>
      <c r="G141" s="247"/>
    </row>
    <row r="142" spans="1:7" ht="13.5" thickBot="1" x14ac:dyDescent="0.25">
      <c r="C142" s="328" t="s">
        <v>29</v>
      </c>
      <c r="D142" s="328"/>
      <c r="E142" s="184">
        <f>$B$43</f>
        <v>0</v>
      </c>
      <c r="F142" s="88">
        <f>E141*E142</f>
        <v>0</v>
      </c>
      <c r="G142" s="247"/>
    </row>
    <row r="143" spans="1:7" ht="11.25" customHeight="1" thickBot="1" x14ac:dyDescent="0.25">
      <c r="G143" s="247"/>
    </row>
    <row r="144" spans="1:7" x14ac:dyDescent="0.2">
      <c r="A144" s="20" t="s">
        <v>65</v>
      </c>
      <c r="B144" s="24"/>
      <c r="C144" s="24"/>
      <c r="D144" s="25"/>
      <c r="E144" s="26"/>
      <c r="F144" s="17">
        <f>F131+F142</f>
        <v>0</v>
      </c>
      <c r="G144" s="247"/>
    </row>
    <row r="145" spans="1:10" ht="11.25" customHeight="1" x14ac:dyDescent="0.2">
      <c r="G145" s="4"/>
    </row>
    <row r="146" spans="1:10" x14ac:dyDescent="0.2">
      <c r="A146" s="8" t="s">
        <v>66</v>
      </c>
      <c r="G146" s="4"/>
    </row>
    <row r="147" spans="1:10" ht="11.25" customHeight="1" x14ac:dyDescent="0.2">
      <c r="B147" s="75"/>
      <c r="G147" s="4"/>
    </row>
    <row r="148" spans="1:10" x14ac:dyDescent="0.2">
      <c r="A148" s="4" t="s">
        <v>265</v>
      </c>
      <c r="G148" s="4"/>
    </row>
    <row r="149" spans="1:10" ht="11.25" customHeight="1" x14ac:dyDescent="0.2">
      <c r="G149" s="4"/>
    </row>
    <row r="150" spans="1:10" x14ac:dyDescent="0.2">
      <c r="A150" s="226" t="s">
        <v>67</v>
      </c>
      <c r="G150" s="4"/>
    </row>
    <row r="151" spans="1:10" x14ac:dyDescent="0.2">
      <c r="A151" s="43" t="s">
        <v>15</v>
      </c>
      <c r="B151" s="44" t="s">
        <v>16</v>
      </c>
      <c r="C151" s="44" t="s">
        <v>9</v>
      </c>
      <c r="D151" s="45" t="s">
        <v>17</v>
      </c>
      <c r="E151" s="45" t="s">
        <v>18</v>
      </c>
      <c r="F151" s="46" t="s">
        <v>19</v>
      </c>
      <c r="G151" s="4"/>
    </row>
    <row r="152" spans="1:10" x14ac:dyDescent="0.2">
      <c r="A152" s="10" t="s">
        <v>261</v>
      </c>
      <c r="B152" s="11" t="s">
        <v>48</v>
      </c>
      <c r="C152" s="11">
        <v>1</v>
      </c>
      <c r="D152" s="62"/>
      <c r="E152" s="12">
        <f>C152*D152</f>
        <v>0</v>
      </c>
      <c r="G152" s="4"/>
    </row>
    <row r="153" spans="1:10" x14ac:dyDescent="0.2">
      <c r="A153" s="13" t="s">
        <v>263</v>
      </c>
      <c r="B153" s="14" t="s">
        <v>68</v>
      </c>
      <c r="C153" s="61"/>
      <c r="D153" s="15"/>
      <c r="E153" s="15"/>
      <c r="G153" s="4"/>
    </row>
    <row r="154" spans="1:10" x14ac:dyDescent="0.2">
      <c r="A154" s="13" t="s">
        <v>69</v>
      </c>
      <c r="B154" s="14" t="s">
        <v>68</v>
      </c>
      <c r="C154" s="61"/>
      <c r="D154" s="15"/>
      <c r="E154" s="15"/>
      <c r="F154" s="16"/>
      <c r="I154" s="60"/>
      <c r="J154" s="60"/>
    </row>
    <row r="155" spans="1:10" x14ac:dyDescent="0.2">
      <c r="A155" s="13" t="s">
        <v>262</v>
      </c>
      <c r="B155" s="14" t="s">
        <v>6</v>
      </c>
      <c r="C155" s="102">
        <f>IFERROR(VLOOKUP(C153,'5. Depreciação'!A3:B17,2,FALSE),0)</f>
        <v>0</v>
      </c>
      <c r="D155" s="15">
        <f>E152</f>
        <v>0</v>
      </c>
      <c r="E155" s="15">
        <f>C155*D155/100</f>
        <v>0</v>
      </c>
    </row>
    <row r="156" spans="1:10" ht="13.5" customHeight="1" x14ac:dyDescent="0.2">
      <c r="A156" s="202" t="s">
        <v>70</v>
      </c>
      <c r="B156" s="203" t="s">
        <v>21</v>
      </c>
      <c r="C156" s="203">
        <f>C153*12</f>
        <v>0</v>
      </c>
      <c r="D156" s="204">
        <f>IF(C154&lt;=C153,E155,0)</f>
        <v>0</v>
      </c>
      <c r="E156" s="204">
        <f>IFERROR(D156/C156,0)</f>
        <v>0</v>
      </c>
    </row>
    <row r="157" spans="1:10" x14ac:dyDescent="0.2">
      <c r="A157" s="82" t="s">
        <v>71</v>
      </c>
      <c r="B157" s="83"/>
      <c r="C157" s="83"/>
      <c r="D157" s="27"/>
      <c r="E157" s="84">
        <f>E156</f>
        <v>0</v>
      </c>
    </row>
    <row r="158" spans="1:10" ht="13.5" thickBot="1" x14ac:dyDescent="0.25">
      <c r="A158" s="72" t="s">
        <v>72</v>
      </c>
      <c r="B158" s="73" t="s">
        <v>48</v>
      </c>
      <c r="C158" s="265"/>
      <c r="D158" s="84">
        <f>E157</f>
        <v>0</v>
      </c>
      <c r="E158" s="84">
        <f>C158*D158</f>
        <v>0</v>
      </c>
    </row>
    <row r="159" spans="1:10" ht="13.5" thickBot="1" x14ac:dyDescent="0.25">
      <c r="A159" s="201"/>
      <c r="B159" s="201"/>
      <c r="C159" s="328" t="s">
        <v>29</v>
      </c>
      <c r="D159" s="328"/>
      <c r="E159" s="184">
        <f>$B$43</f>
        <v>0</v>
      </c>
      <c r="F159" s="17">
        <f>E158*E159</f>
        <v>0</v>
      </c>
    </row>
    <row r="160" spans="1:10" ht="11.25" customHeight="1" x14ac:dyDescent="0.2"/>
    <row r="161" spans="1:10" x14ac:dyDescent="0.2">
      <c r="A161" s="227" t="s">
        <v>73</v>
      </c>
    </row>
    <row r="162" spans="1:10" x14ac:dyDescent="0.2">
      <c r="A162" s="77" t="s">
        <v>15</v>
      </c>
      <c r="B162" s="78" t="s">
        <v>16</v>
      </c>
      <c r="C162" s="78" t="s">
        <v>9</v>
      </c>
      <c r="D162" s="45" t="s">
        <v>17</v>
      </c>
      <c r="E162" s="79" t="s">
        <v>18</v>
      </c>
      <c r="F162" s="46" t="s">
        <v>19</v>
      </c>
      <c r="I162" s="60"/>
      <c r="J162" s="60"/>
    </row>
    <row r="163" spans="1:10" x14ac:dyDescent="0.2">
      <c r="A163" s="13" t="s">
        <v>74</v>
      </c>
      <c r="B163" s="14" t="s">
        <v>48</v>
      </c>
      <c r="C163" s="11">
        <v>1</v>
      </c>
      <c r="D163" s="15">
        <f>D152</f>
        <v>0</v>
      </c>
      <c r="E163" s="15">
        <f>C163*D163</f>
        <v>0</v>
      </c>
      <c r="F163" s="16"/>
      <c r="I163" s="60"/>
      <c r="J163" s="60"/>
    </row>
    <row r="164" spans="1:10" x14ac:dyDescent="0.2">
      <c r="A164" s="13" t="s">
        <v>75</v>
      </c>
      <c r="B164" s="14" t="s">
        <v>6</v>
      </c>
      <c r="C164" s="61"/>
      <c r="D164" s="15"/>
      <c r="E164" s="15"/>
      <c r="F164" s="16"/>
      <c r="I164" s="60"/>
      <c r="J164" s="60"/>
    </row>
    <row r="165" spans="1:10" x14ac:dyDescent="0.2">
      <c r="A165" s="13" t="s">
        <v>76</v>
      </c>
      <c r="B165" s="14" t="s">
        <v>22</v>
      </c>
      <c r="C165" s="105">
        <f>IFERROR(IF(C154&lt;=C153,E152-(C155/(100*C153)*C154)*E152,E152-E155),0)</f>
        <v>0</v>
      </c>
      <c r="D165" s="15"/>
      <c r="E165" s="15"/>
      <c r="F165" s="16"/>
      <c r="G165" s="225"/>
      <c r="I165" s="60"/>
      <c r="J165" s="60"/>
    </row>
    <row r="166" spans="1:10" x14ac:dyDescent="0.2">
      <c r="A166" s="13" t="s">
        <v>77</v>
      </c>
      <c r="B166" s="14" t="s">
        <v>22</v>
      </c>
      <c r="C166" s="15">
        <f>IFERROR(IF(C154&gt;=C153,C165,((((C165)-(E152-E155))*(((C153-C154)+1)/(2*(C153-C154))))+(E152-E155))),0)</f>
        <v>0</v>
      </c>
      <c r="D166" s="15"/>
      <c r="E166" s="15"/>
      <c r="F166" s="16"/>
      <c r="I166" s="60"/>
      <c r="J166" s="60"/>
    </row>
    <row r="167" spans="1:10" x14ac:dyDescent="0.2">
      <c r="A167" s="202" t="s">
        <v>78</v>
      </c>
      <c r="B167" s="203" t="s">
        <v>22</v>
      </c>
      <c r="C167" s="203"/>
      <c r="D167" s="204">
        <f>C164*C166/12/100</f>
        <v>0</v>
      </c>
      <c r="E167" s="204">
        <f>D167</f>
        <v>0</v>
      </c>
      <c r="F167" s="16"/>
      <c r="I167" s="60"/>
      <c r="J167" s="60"/>
    </row>
    <row r="168" spans="1:10" x14ac:dyDescent="0.2">
      <c r="A168" s="82" t="s">
        <v>71</v>
      </c>
      <c r="B168" s="83"/>
      <c r="C168" s="83"/>
      <c r="D168" s="27"/>
      <c r="E168" s="84">
        <f>E167</f>
        <v>0</v>
      </c>
      <c r="F168" s="16"/>
      <c r="I168" s="60"/>
      <c r="J168" s="60"/>
    </row>
    <row r="169" spans="1:10" ht="13.5" thickBot="1" x14ac:dyDescent="0.25">
      <c r="A169" s="72" t="s">
        <v>72</v>
      </c>
      <c r="B169" s="73" t="s">
        <v>48</v>
      </c>
      <c r="C169" s="269">
        <f>C158</f>
        <v>0</v>
      </c>
      <c r="D169" s="84">
        <f>E168</f>
        <v>0</v>
      </c>
      <c r="E169" s="84">
        <f>C169*D169</f>
        <v>0</v>
      </c>
      <c r="F169" s="16"/>
      <c r="I169" s="60"/>
      <c r="J169" s="60"/>
    </row>
    <row r="170" spans="1:10" ht="13.5" thickBot="1" x14ac:dyDescent="0.25">
      <c r="C170" s="328" t="s">
        <v>29</v>
      </c>
      <c r="D170" s="328"/>
      <c r="E170" s="184">
        <f>$B$43</f>
        <v>0</v>
      </c>
      <c r="F170" s="17">
        <f>E169*E170</f>
        <v>0</v>
      </c>
      <c r="I170" s="60"/>
      <c r="J170" s="60"/>
    </row>
    <row r="171" spans="1:10" ht="11.25" customHeight="1" x14ac:dyDescent="0.2">
      <c r="I171" s="60"/>
      <c r="J171" s="60"/>
    </row>
    <row r="172" spans="1:10" x14ac:dyDescent="0.2">
      <c r="A172" s="4" t="s">
        <v>79</v>
      </c>
      <c r="I172" s="60"/>
      <c r="J172" s="60"/>
    </row>
    <row r="173" spans="1:10" ht="13.5" thickBot="1" x14ac:dyDescent="0.25">
      <c r="A173" s="43" t="s">
        <v>15</v>
      </c>
      <c r="B173" s="44" t="s">
        <v>16</v>
      </c>
      <c r="C173" s="44" t="s">
        <v>9</v>
      </c>
      <c r="D173" s="45" t="s">
        <v>17</v>
      </c>
      <c r="E173" s="45" t="s">
        <v>18</v>
      </c>
      <c r="F173" s="46" t="s">
        <v>19</v>
      </c>
      <c r="I173" s="60"/>
      <c r="J173" s="60"/>
    </row>
    <row r="174" spans="1:10" x14ac:dyDescent="0.2">
      <c r="A174" s="10" t="s">
        <v>80</v>
      </c>
      <c r="B174" s="11" t="s">
        <v>48</v>
      </c>
      <c r="C174" s="12">
        <f>C158</f>
        <v>0</v>
      </c>
      <c r="D174" s="12">
        <f>0.01*($E$152)</f>
        <v>0</v>
      </c>
      <c r="E174" s="12">
        <f>C174*D174</f>
        <v>0</v>
      </c>
      <c r="I174" s="60"/>
      <c r="J174" s="60"/>
    </row>
    <row r="175" spans="1:10" x14ac:dyDescent="0.2">
      <c r="A175" s="13" t="s">
        <v>81</v>
      </c>
      <c r="B175" s="14" t="s">
        <v>48</v>
      </c>
      <c r="C175" s="12">
        <f>C158</f>
        <v>0</v>
      </c>
      <c r="D175" s="64"/>
      <c r="E175" s="15">
        <f>C175*D175</f>
        <v>0</v>
      </c>
      <c r="I175" s="60"/>
      <c r="J175" s="60"/>
    </row>
    <row r="176" spans="1:10" s="235" customFormat="1" x14ac:dyDescent="0.2">
      <c r="A176" s="230" t="s">
        <v>82</v>
      </c>
      <c r="B176" s="231" t="s">
        <v>48</v>
      </c>
      <c r="C176" s="310">
        <f>C158</f>
        <v>0</v>
      </c>
      <c r="D176" s="232"/>
      <c r="E176" s="233">
        <f>C176*D176</f>
        <v>0</v>
      </c>
      <c r="F176" s="311"/>
      <c r="G176" s="234"/>
      <c r="I176" s="236"/>
      <c r="J176" s="236"/>
    </row>
    <row r="177" spans="1:10" ht="13.5" thickBot="1" x14ac:dyDescent="0.25">
      <c r="A177" s="72" t="s">
        <v>83</v>
      </c>
      <c r="B177" s="73" t="s">
        <v>21</v>
      </c>
      <c r="C177" s="270">
        <v>12</v>
      </c>
      <c r="D177" s="84">
        <f>SUM(E174:E176)</f>
        <v>0</v>
      </c>
      <c r="E177" s="74">
        <f>D177/C177</f>
        <v>0</v>
      </c>
      <c r="I177" s="60"/>
      <c r="J177" s="60"/>
    </row>
    <row r="178" spans="1:10" ht="13.5" thickBot="1" x14ac:dyDescent="0.25">
      <c r="C178" s="328" t="s">
        <v>29</v>
      </c>
      <c r="D178" s="328"/>
      <c r="E178" s="184">
        <f>$B$43</f>
        <v>0</v>
      </c>
      <c r="F178" s="88">
        <f>E177*E178</f>
        <v>0</v>
      </c>
      <c r="I178" s="60"/>
      <c r="J178" s="60"/>
    </row>
    <row r="179" spans="1:10" ht="11.25" customHeight="1" x14ac:dyDescent="0.2">
      <c r="I179" s="60"/>
      <c r="J179" s="60"/>
    </row>
    <row r="180" spans="1:10" x14ac:dyDescent="0.2">
      <c r="A180" s="4" t="s">
        <v>84</v>
      </c>
      <c r="B180" s="28"/>
      <c r="I180" s="60"/>
      <c r="J180" s="60"/>
    </row>
    <row r="181" spans="1:10" x14ac:dyDescent="0.2">
      <c r="B181" s="28"/>
      <c r="I181" s="60"/>
      <c r="J181" s="60"/>
    </row>
    <row r="182" spans="1:10" x14ac:dyDescent="0.2">
      <c r="A182" s="72" t="s">
        <v>85</v>
      </c>
      <c r="B182" s="80">
        <v>4024</v>
      </c>
      <c r="I182" s="60"/>
      <c r="J182" s="60"/>
    </row>
    <row r="183" spans="1:10" x14ac:dyDescent="0.2">
      <c r="B183" s="28"/>
      <c r="I183" s="60"/>
      <c r="J183" s="60"/>
    </row>
    <row r="184" spans="1:10" ht="13.5" thickBot="1" x14ac:dyDescent="0.25">
      <c r="A184" s="43" t="s">
        <v>15</v>
      </c>
      <c r="B184" s="44" t="s">
        <v>16</v>
      </c>
      <c r="C184" s="44" t="s">
        <v>86</v>
      </c>
      <c r="D184" s="45" t="s">
        <v>17</v>
      </c>
      <c r="E184" s="45" t="s">
        <v>18</v>
      </c>
      <c r="F184" s="46" t="s">
        <v>19</v>
      </c>
      <c r="H184" s="60"/>
      <c r="I184" s="60"/>
      <c r="J184" s="60"/>
    </row>
    <row r="185" spans="1:10" x14ac:dyDescent="0.2">
      <c r="A185" s="10" t="s">
        <v>87</v>
      </c>
      <c r="B185" s="11" t="s">
        <v>88</v>
      </c>
      <c r="C185" s="273"/>
      <c r="D185" s="70"/>
      <c r="E185" s="12"/>
      <c r="I185" s="60"/>
      <c r="J185" s="60"/>
    </row>
    <row r="186" spans="1:10" x14ac:dyDescent="0.2">
      <c r="A186" s="13" t="s">
        <v>89</v>
      </c>
      <c r="B186" s="14" t="s">
        <v>90</v>
      </c>
      <c r="C186" s="274">
        <f>B182</f>
        <v>4024</v>
      </c>
      <c r="D186" s="200" t="str">
        <f>IFERROR(+D185/C185,"-")</f>
        <v>-</v>
      </c>
      <c r="E186" s="15" t="str">
        <f>IFERROR(C186*D186,"-")</f>
        <v>-</v>
      </c>
      <c r="I186" s="60"/>
      <c r="J186" s="60"/>
    </row>
    <row r="187" spans="1:10" s="235" customFormat="1" x14ac:dyDescent="0.2">
      <c r="A187" s="230" t="s">
        <v>91</v>
      </c>
      <c r="B187" s="231" t="s">
        <v>92</v>
      </c>
      <c r="C187" s="275"/>
      <c r="D187" s="232"/>
      <c r="E187" s="233"/>
      <c r="F187" s="234"/>
      <c r="G187" s="234"/>
      <c r="I187" s="236"/>
      <c r="J187" s="236"/>
    </row>
    <row r="188" spans="1:10" s="235" customFormat="1" x14ac:dyDescent="0.2">
      <c r="A188" s="230" t="s">
        <v>93</v>
      </c>
      <c r="B188" s="231" t="s">
        <v>90</v>
      </c>
      <c r="C188" s="276">
        <f>C186</f>
        <v>4024</v>
      </c>
      <c r="D188" s="238">
        <f>C187*D187/1000</f>
        <v>0</v>
      </c>
      <c r="E188" s="233">
        <f>C188*D188</f>
        <v>0</v>
      </c>
      <c r="F188" s="234"/>
      <c r="G188" s="234"/>
      <c r="I188" s="236"/>
      <c r="J188" s="236"/>
    </row>
    <row r="189" spans="1:10" s="40" customFormat="1" x14ac:dyDescent="0.2">
      <c r="A189" s="230" t="s">
        <v>94</v>
      </c>
      <c r="B189" s="231" t="s">
        <v>92</v>
      </c>
      <c r="C189" s="275"/>
      <c r="D189" s="232"/>
      <c r="E189" s="233"/>
      <c r="F189" s="59"/>
      <c r="G189" s="59"/>
      <c r="I189" s="229"/>
      <c r="J189" s="229"/>
    </row>
    <row r="190" spans="1:10" s="40" customFormat="1" x14ac:dyDescent="0.2">
      <c r="A190" s="230" t="s">
        <v>95</v>
      </c>
      <c r="B190" s="231" t="s">
        <v>90</v>
      </c>
      <c r="C190" s="276">
        <f>C186</f>
        <v>4024</v>
      </c>
      <c r="D190" s="238">
        <f>C189*D189/1000</f>
        <v>0</v>
      </c>
      <c r="E190" s="233">
        <f>C190*D190</f>
        <v>0</v>
      </c>
      <c r="F190" s="59"/>
      <c r="G190" s="59"/>
      <c r="I190" s="229"/>
      <c r="J190" s="229"/>
    </row>
    <row r="191" spans="1:10" s="40" customFormat="1" x14ac:dyDescent="0.2">
      <c r="A191" s="230" t="s">
        <v>96</v>
      </c>
      <c r="B191" s="231" t="s">
        <v>92</v>
      </c>
      <c r="C191" s="275"/>
      <c r="D191" s="232"/>
      <c r="E191" s="233"/>
      <c r="F191" s="59"/>
      <c r="G191" s="59"/>
      <c r="I191" s="229"/>
      <c r="J191" s="229"/>
    </row>
    <row r="192" spans="1:10" s="40" customFormat="1" x14ac:dyDescent="0.2">
      <c r="A192" s="230" t="s">
        <v>97</v>
      </c>
      <c r="B192" s="231" t="s">
        <v>90</v>
      </c>
      <c r="C192" s="276">
        <f>C186</f>
        <v>4024</v>
      </c>
      <c r="D192" s="238">
        <f>C191*D191/1000</f>
        <v>0</v>
      </c>
      <c r="E192" s="233">
        <f>C192*D192</f>
        <v>0</v>
      </c>
      <c r="F192" s="59"/>
      <c r="G192" s="59"/>
      <c r="I192" s="229"/>
      <c r="J192" s="229"/>
    </row>
    <row r="193" spans="1:10" s="40" customFormat="1" x14ac:dyDescent="0.2">
      <c r="A193" s="230" t="s">
        <v>98</v>
      </c>
      <c r="B193" s="231" t="s">
        <v>99</v>
      </c>
      <c r="C193" s="275"/>
      <c r="D193" s="232"/>
      <c r="E193" s="233"/>
      <c r="F193" s="59"/>
      <c r="G193" s="59"/>
      <c r="I193" s="229"/>
      <c r="J193" s="229"/>
    </row>
    <row r="194" spans="1:10" s="40" customFormat="1" x14ac:dyDescent="0.2">
      <c r="A194" s="230" t="s">
        <v>100</v>
      </c>
      <c r="B194" s="231" t="s">
        <v>90</v>
      </c>
      <c r="C194" s="237">
        <f>C186</f>
        <v>4024</v>
      </c>
      <c r="D194" s="238">
        <f>C193*D193/1000</f>
        <v>0</v>
      </c>
      <c r="E194" s="233">
        <f>C194*D194</f>
        <v>0</v>
      </c>
      <c r="F194" s="59"/>
      <c r="G194" s="59"/>
      <c r="I194" s="229"/>
      <c r="J194" s="229"/>
    </row>
    <row r="195" spans="1:10" x14ac:dyDescent="0.2">
      <c r="A195" s="72" t="s">
        <v>101</v>
      </c>
      <c r="B195" s="73" t="s">
        <v>102</v>
      </c>
      <c r="C195" s="198"/>
      <c r="D195" s="199">
        <f>IFERROR(D186+D188+D190+D192+D194,0)</f>
        <v>0</v>
      </c>
      <c r="E195" s="15"/>
      <c r="I195" s="60"/>
      <c r="J195" s="60"/>
    </row>
    <row r="196" spans="1:10" x14ac:dyDescent="0.2">
      <c r="F196" s="17">
        <f>SUM(E185:E194)</f>
        <v>0</v>
      </c>
      <c r="I196" s="60"/>
      <c r="J196" s="60"/>
    </row>
    <row r="197" spans="1:10" ht="11.25" customHeight="1" x14ac:dyDescent="0.2">
      <c r="I197" s="60"/>
      <c r="J197" s="60"/>
    </row>
    <row r="198" spans="1:10" x14ac:dyDescent="0.2">
      <c r="A198" s="4" t="s">
        <v>103</v>
      </c>
      <c r="I198" s="60"/>
      <c r="J198" s="60"/>
    </row>
    <row r="199" spans="1:10" x14ac:dyDescent="0.2">
      <c r="A199" s="43" t="s">
        <v>15</v>
      </c>
      <c r="B199" s="44" t="s">
        <v>16</v>
      </c>
      <c r="C199" s="44" t="s">
        <v>9</v>
      </c>
      <c r="D199" s="45" t="s">
        <v>17</v>
      </c>
      <c r="E199" s="45" t="s">
        <v>18</v>
      </c>
      <c r="F199" s="46" t="s">
        <v>19</v>
      </c>
      <c r="I199" s="60"/>
      <c r="J199" s="60"/>
    </row>
    <row r="200" spans="1:10" x14ac:dyDescent="0.2">
      <c r="A200" s="10" t="s">
        <v>104</v>
      </c>
      <c r="B200" s="11" t="s">
        <v>102</v>
      </c>
      <c r="C200" s="69">
        <f>C186</f>
        <v>4024</v>
      </c>
      <c r="D200" s="62"/>
      <c r="E200" s="12">
        <f>C200*D200</f>
        <v>0</v>
      </c>
      <c r="I200" s="60"/>
      <c r="J200" s="60"/>
    </row>
    <row r="201" spans="1:10" x14ac:dyDescent="0.2">
      <c r="F201" s="17">
        <f>E200</f>
        <v>0</v>
      </c>
      <c r="I201" s="60"/>
      <c r="J201" s="60"/>
    </row>
    <row r="202" spans="1:10" ht="11.25" customHeight="1" x14ac:dyDescent="0.2">
      <c r="I202" s="60"/>
      <c r="J202" s="60"/>
    </row>
    <row r="203" spans="1:10" x14ac:dyDescent="0.2">
      <c r="A203" s="4" t="s">
        <v>105</v>
      </c>
      <c r="I203" s="60"/>
      <c r="J203" s="60"/>
    </row>
    <row r="204" spans="1:10" ht="13.5" thickBot="1" x14ac:dyDescent="0.25">
      <c r="A204" s="43" t="s">
        <v>15</v>
      </c>
      <c r="B204" s="44" t="s">
        <v>16</v>
      </c>
      <c r="C204" s="44" t="s">
        <v>9</v>
      </c>
      <c r="D204" s="45" t="s">
        <v>17</v>
      </c>
      <c r="E204" s="45" t="s">
        <v>18</v>
      </c>
      <c r="F204" s="46" t="s">
        <v>19</v>
      </c>
      <c r="I204" s="60"/>
      <c r="J204" s="60"/>
    </row>
    <row r="205" spans="1:10" x14ac:dyDescent="0.2">
      <c r="A205" s="239" t="s">
        <v>266</v>
      </c>
      <c r="B205" s="11" t="s">
        <v>48</v>
      </c>
      <c r="C205" s="272"/>
      <c r="D205" s="62"/>
      <c r="E205" s="12">
        <f>C205*D205</f>
        <v>0</v>
      </c>
      <c r="I205" s="60"/>
      <c r="J205" s="60"/>
    </row>
    <row r="206" spans="1:10" x14ac:dyDescent="0.2">
      <c r="A206" s="10" t="s">
        <v>106</v>
      </c>
      <c r="B206" s="11" t="s">
        <v>48</v>
      </c>
      <c r="C206" s="272"/>
      <c r="D206" s="12"/>
      <c r="E206" s="12"/>
      <c r="I206" s="60"/>
      <c r="J206" s="60"/>
    </row>
    <row r="207" spans="1:10" x14ac:dyDescent="0.2">
      <c r="A207" s="10" t="s">
        <v>107</v>
      </c>
      <c r="B207" s="11" t="s">
        <v>48</v>
      </c>
      <c r="C207" s="12">
        <f>C205*C206</f>
        <v>0</v>
      </c>
      <c r="D207" s="62"/>
      <c r="E207" s="12">
        <f>C207*D207</f>
        <v>0</v>
      </c>
      <c r="I207" s="60"/>
      <c r="J207" s="60"/>
    </row>
    <row r="208" spans="1:10" x14ac:dyDescent="0.2">
      <c r="A208" s="13" t="s">
        <v>264</v>
      </c>
      <c r="B208" s="14" t="s">
        <v>108</v>
      </c>
      <c r="C208" s="271"/>
      <c r="D208" s="15">
        <f>E205+E207</f>
        <v>0</v>
      </c>
      <c r="E208" s="15" t="str">
        <f>IFERROR(D208/C208,"-")</f>
        <v>-</v>
      </c>
      <c r="I208" s="60"/>
      <c r="J208" s="60"/>
    </row>
    <row r="209" spans="1:10" ht="13.5" thickBot="1" x14ac:dyDescent="0.25">
      <c r="A209" s="13" t="s">
        <v>109</v>
      </c>
      <c r="B209" s="14" t="s">
        <v>90</v>
      </c>
      <c r="C209" s="69">
        <f>B182</f>
        <v>4024</v>
      </c>
      <c r="D209" s="15" t="str">
        <f>E208</f>
        <v>-</v>
      </c>
      <c r="E209" s="15">
        <f>IFERROR(C209*D209,0)</f>
        <v>0</v>
      </c>
      <c r="I209" s="60"/>
      <c r="J209" s="60"/>
    </row>
    <row r="210" spans="1:10" x14ac:dyDescent="0.2">
      <c r="F210" s="17">
        <f>E209</f>
        <v>0</v>
      </c>
      <c r="I210" s="60"/>
      <c r="J210" s="60"/>
    </row>
    <row r="211" spans="1:10" ht="11.25" customHeight="1" x14ac:dyDescent="0.2">
      <c r="I211" s="60"/>
      <c r="J211" s="60"/>
    </row>
    <row r="212" spans="1:10" ht="11.25" customHeight="1" x14ac:dyDescent="0.2">
      <c r="G212" s="4"/>
    </row>
    <row r="213" spans="1:10" x14ac:dyDescent="0.2">
      <c r="A213" s="20" t="s">
        <v>110</v>
      </c>
      <c r="B213" s="21"/>
      <c r="C213" s="21"/>
      <c r="D213" s="22"/>
      <c r="E213" s="23"/>
      <c r="F213" s="17">
        <f>SUM(F152:F212)</f>
        <v>0</v>
      </c>
      <c r="G213" s="4"/>
    </row>
    <row r="214" spans="1:10" ht="11.25" customHeight="1" x14ac:dyDescent="0.2">
      <c r="G214" s="4"/>
    </row>
    <row r="215" spans="1:10" x14ac:dyDescent="0.2">
      <c r="A215" s="8" t="s">
        <v>111</v>
      </c>
      <c r="B215" s="8"/>
      <c r="C215" s="8"/>
      <c r="D215" s="19"/>
      <c r="E215" s="19"/>
      <c r="F215" s="27"/>
      <c r="G215" s="4"/>
    </row>
    <row r="216" spans="1:10" ht="11.25" customHeight="1" x14ac:dyDescent="0.2">
      <c r="G216" s="4"/>
    </row>
    <row r="217" spans="1:10" x14ac:dyDescent="0.2">
      <c r="A217" s="43" t="s">
        <v>15</v>
      </c>
      <c r="B217" s="44" t="s">
        <v>16</v>
      </c>
      <c r="C217" s="44" t="s">
        <v>9</v>
      </c>
      <c r="D217" s="45" t="s">
        <v>17</v>
      </c>
      <c r="E217" s="45" t="s">
        <v>18</v>
      </c>
      <c r="F217" s="46" t="s">
        <v>19</v>
      </c>
      <c r="G217" s="4"/>
    </row>
    <row r="218" spans="1:10" x14ac:dyDescent="0.2">
      <c r="A218" s="13" t="s">
        <v>112</v>
      </c>
      <c r="B218" s="14" t="s">
        <v>48</v>
      </c>
      <c r="C218" s="228"/>
      <c r="D218" s="62"/>
      <c r="E218" s="15">
        <f>C218*D218</f>
        <v>0</v>
      </c>
      <c r="F218" s="16"/>
      <c r="G218" s="4"/>
    </row>
    <row r="219" spans="1:10" x14ac:dyDescent="0.2">
      <c r="A219" s="13" t="s">
        <v>113</v>
      </c>
      <c r="B219" s="14" t="s">
        <v>48</v>
      </c>
      <c r="C219" s="228"/>
      <c r="D219" s="62"/>
      <c r="E219" s="15">
        <f>C219*D219</f>
        <v>0</v>
      </c>
      <c r="F219" s="16"/>
      <c r="G219" s="4"/>
    </row>
    <row r="220" spans="1:10" x14ac:dyDescent="0.2">
      <c r="A220" s="13" t="s">
        <v>114</v>
      </c>
      <c r="B220" s="14" t="s">
        <v>48</v>
      </c>
      <c r="C220" s="228"/>
      <c r="D220" s="62"/>
      <c r="E220" s="15">
        <f>C220*D220</f>
        <v>0</v>
      </c>
      <c r="F220" s="16"/>
      <c r="G220" s="4"/>
      <c r="I220" s="4" t="s">
        <v>280</v>
      </c>
    </row>
    <row r="221" spans="1:10" x14ac:dyDescent="0.2">
      <c r="A221" s="8"/>
      <c r="B221" s="8"/>
      <c r="C221" s="8"/>
      <c r="D221" s="8"/>
      <c r="E221" s="19"/>
      <c r="F221" s="17">
        <f>SUM(E218:E220)</f>
        <v>0</v>
      </c>
      <c r="G221" s="4"/>
    </row>
    <row r="222" spans="1:10" ht="11.25" customHeight="1" x14ac:dyDescent="0.2">
      <c r="G222" s="4"/>
    </row>
    <row r="223" spans="1:10" x14ac:dyDescent="0.2">
      <c r="A223" s="20" t="s">
        <v>115</v>
      </c>
      <c r="B223" s="21"/>
      <c r="C223" s="21"/>
      <c r="D223" s="22"/>
      <c r="E223" s="23"/>
      <c r="F223" s="17">
        <f>F221</f>
        <v>0</v>
      </c>
      <c r="G223" s="4"/>
    </row>
    <row r="224" spans="1:10" ht="11.25" customHeight="1" x14ac:dyDescent="0.2">
      <c r="G224" s="4"/>
    </row>
    <row r="225" spans="1:7" ht="11.25" customHeight="1" thickBot="1" x14ac:dyDescent="0.25"/>
    <row r="226" spans="1:7" ht="17.25" customHeight="1" thickBot="1" x14ac:dyDescent="0.25">
      <c r="A226" s="20" t="s">
        <v>116</v>
      </c>
      <c r="B226" s="24"/>
      <c r="C226" s="24"/>
      <c r="D226" s="25"/>
      <c r="E226" s="26"/>
      <c r="F226" s="18">
        <f>F115+F144+F213+F223</f>
        <v>0</v>
      </c>
    </row>
    <row r="227" spans="1:7" ht="17.25" customHeight="1" x14ac:dyDescent="0.2">
      <c r="A227" s="278"/>
      <c r="B227" s="279"/>
      <c r="C227" s="279"/>
      <c r="D227" s="280"/>
      <c r="E227" s="280"/>
      <c r="F227" s="298"/>
    </row>
    <row r="228" spans="1:7" x14ac:dyDescent="0.2">
      <c r="A228" s="8" t="s">
        <v>272</v>
      </c>
      <c r="B228" s="8"/>
      <c r="C228" s="8"/>
      <c r="D228" s="19"/>
      <c r="E228" s="19"/>
      <c r="F228" s="27"/>
    </row>
    <row r="229" spans="1:7" ht="11.25" customHeight="1" thickBot="1" x14ac:dyDescent="0.25"/>
    <row r="230" spans="1:7" ht="13.5" thickBot="1" x14ac:dyDescent="0.25">
      <c r="A230" s="281" t="s">
        <v>15</v>
      </c>
      <c r="B230" s="282" t="s">
        <v>16</v>
      </c>
      <c r="C230" s="282" t="s">
        <v>9</v>
      </c>
      <c r="D230" s="283" t="s">
        <v>17</v>
      </c>
      <c r="E230" s="283" t="s">
        <v>18</v>
      </c>
      <c r="F230" s="284" t="s">
        <v>19</v>
      </c>
    </row>
    <row r="231" spans="1:7" x14ac:dyDescent="0.2">
      <c r="A231" s="285" t="s">
        <v>273</v>
      </c>
      <c r="B231" s="286" t="s">
        <v>274</v>
      </c>
      <c r="C231" s="287">
        <f>C152</f>
        <v>1</v>
      </c>
      <c r="D231" s="288"/>
      <c r="E231" s="289">
        <f>D231*C231</f>
        <v>0</v>
      </c>
      <c r="F231" s="16"/>
    </row>
    <row r="232" spans="1:7" x14ac:dyDescent="0.2">
      <c r="A232" s="285" t="s">
        <v>275</v>
      </c>
      <c r="B232" s="286" t="s">
        <v>21</v>
      </c>
      <c r="C232" s="290">
        <v>60</v>
      </c>
      <c r="D232" s="291">
        <f>SUM(E231)</f>
        <v>0</v>
      </c>
      <c r="E232" s="291">
        <f>D232/C232</f>
        <v>0</v>
      </c>
      <c r="F232" s="16"/>
    </row>
    <row r="233" spans="1:7" x14ac:dyDescent="0.2">
      <c r="A233" s="285" t="s">
        <v>278</v>
      </c>
      <c r="B233" s="290" t="s">
        <v>48</v>
      </c>
      <c r="C233" s="287">
        <f>C231</f>
        <v>1</v>
      </c>
      <c r="D233" s="288"/>
      <c r="E233" s="289">
        <f>C233*D233</f>
        <v>0</v>
      </c>
      <c r="F233" s="16"/>
    </row>
    <row r="234" spans="1:7" ht="13.5" thickBot="1" x14ac:dyDescent="0.25">
      <c r="A234" s="285" t="s">
        <v>279</v>
      </c>
      <c r="B234" s="286" t="s">
        <v>21</v>
      </c>
      <c r="C234" s="290">
        <v>1</v>
      </c>
      <c r="D234" s="291">
        <f>E233</f>
        <v>0</v>
      </c>
      <c r="E234" s="291">
        <f>D234/C234</f>
        <v>0</v>
      </c>
      <c r="F234" s="16"/>
    </row>
    <row r="235" spans="1:7" ht="13.5" thickBot="1" x14ac:dyDescent="0.25">
      <c r="A235" s="9"/>
      <c r="B235" s="9"/>
      <c r="C235" s="9"/>
      <c r="D235" s="87" t="s">
        <v>29</v>
      </c>
      <c r="E235" s="292">
        <f>$B$43</f>
        <v>0</v>
      </c>
      <c r="F235" s="293">
        <f>(E232+E234)*E235</f>
        <v>0</v>
      </c>
    </row>
    <row r="236" spans="1:7" s="40" customFormat="1" ht="11.25" customHeight="1" thickBot="1" x14ac:dyDescent="0.25">
      <c r="A236" s="4"/>
      <c r="B236" s="4"/>
      <c r="C236" s="4"/>
      <c r="D236" s="6"/>
      <c r="E236" s="6"/>
      <c r="F236" s="6"/>
      <c r="G236" s="59"/>
    </row>
    <row r="237" spans="1:7" ht="13.5" thickBot="1" x14ac:dyDescent="0.25">
      <c r="A237" s="294" t="s">
        <v>276</v>
      </c>
      <c r="B237" s="295"/>
      <c r="C237" s="295"/>
      <c r="D237" s="296"/>
      <c r="E237" s="297"/>
      <c r="F237" s="293">
        <f>F235</f>
        <v>0</v>
      </c>
    </row>
    <row r="238" spans="1:7" ht="11.25" customHeight="1" x14ac:dyDescent="0.2"/>
    <row r="239" spans="1:7" x14ac:dyDescent="0.2">
      <c r="A239" s="8" t="s">
        <v>277</v>
      </c>
    </row>
    <row r="240" spans="1:7" ht="11.25" customHeight="1" x14ac:dyDescent="0.2"/>
    <row r="241" spans="1:6" x14ac:dyDescent="0.2">
      <c r="A241" s="43" t="s">
        <v>15</v>
      </c>
      <c r="B241" s="44" t="s">
        <v>16</v>
      </c>
      <c r="C241" s="44" t="s">
        <v>9</v>
      </c>
      <c r="D241" s="45" t="s">
        <v>17</v>
      </c>
      <c r="E241" s="45" t="s">
        <v>18</v>
      </c>
      <c r="F241" s="46" t="s">
        <v>19</v>
      </c>
    </row>
    <row r="242" spans="1:6" x14ac:dyDescent="0.2">
      <c r="A242" s="10" t="s">
        <v>117</v>
      </c>
      <c r="B242" s="11" t="s">
        <v>6</v>
      </c>
      <c r="C242" s="102">
        <f>'4.BDI'!C18*100</f>
        <v>0</v>
      </c>
      <c r="D242" s="12">
        <f>F226</f>
        <v>0</v>
      </c>
      <c r="E242" s="12">
        <f>C242*D242/100</f>
        <v>0</v>
      </c>
    </row>
    <row r="243" spans="1:6" x14ac:dyDescent="0.2">
      <c r="F243" s="17">
        <f>E242</f>
        <v>0</v>
      </c>
    </row>
    <row r="244" spans="1:6" ht="11.25" customHeight="1" x14ac:dyDescent="0.2"/>
    <row r="245" spans="1:6" x14ac:dyDescent="0.2">
      <c r="A245" s="20" t="s">
        <v>118</v>
      </c>
      <c r="B245" s="24"/>
      <c r="C245" s="24"/>
      <c r="D245" s="25"/>
      <c r="E245" s="26"/>
      <c r="F245" s="18">
        <f>F243</f>
        <v>0</v>
      </c>
    </row>
    <row r="246" spans="1:6" x14ac:dyDescent="0.2">
      <c r="A246" s="8"/>
      <c r="B246" s="8"/>
      <c r="C246" s="8"/>
      <c r="D246" s="19"/>
      <c r="E246" s="19"/>
      <c r="F246" s="27"/>
    </row>
    <row r="247" spans="1:6" ht="11.25" customHeight="1" x14ac:dyDescent="0.2"/>
    <row r="248" spans="1:6" ht="24.75" customHeight="1" x14ac:dyDescent="0.2">
      <c r="A248" s="20" t="s">
        <v>119</v>
      </c>
      <c r="B248" s="24"/>
      <c r="C248" s="24"/>
      <c r="D248" s="25"/>
      <c r="E248" s="26"/>
      <c r="F248" s="18">
        <f>F226+F245+F237</f>
        <v>0</v>
      </c>
    </row>
    <row r="249" spans="1:6" ht="12.6" customHeight="1" x14ac:dyDescent="0.2">
      <c r="A249" s="41"/>
      <c r="B249" s="41"/>
      <c r="C249" s="41"/>
      <c r="D249" s="31"/>
      <c r="E249" s="31"/>
      <c r="F249" s="31"/>
    </row>
    <row r="270" spans="4:7" ht="9" customHeight="1" x14ac:dyDescent="0.2">
      <c r="D270" s="4"/>
      <c r="E270" s="4"/>
      <c r="F270" s="4"/>
      <c r="G270" s="4"/>
    </row>
  </sheetData>
  <mergeCells count="16">
    <mergeCell ref="C178:D178"/>
    <mergeCell ref="C67:D67"/>
    <mergeCell ref="C79:D79"/>
    <mergeCell ref="C93:D93"/>
    <mergeCell ref="C113:D113"/>
    <mergeCell ref="C131:D131"/>
    <mergeCell ref="A32:D32"/>
    <mergeCell ref="A39:D39"/>
    <mergeCell ref="C142:D142"/>
    <mergeCell ref="C159:D159"/>
    <mergeCell ref="C170:D170"/>
    <mergeCell ref="A3:F3"/>
    <mergeCell ref="A4:F4"/>
    <mergeCell ref="A6:F6"/>
    <mergeCell ref="A16:C16"/>
    <mergeCell ref="A31:E31"/>
  </mergeCells>
  <hyperlinks>
    <hyperlink ref="A150" location="AbaDeprec" display="3.1.1. Depreciação"/>
    <hyperlink ref="A161" location="AbaRemun" display="3.1.2. Remuneração do Capital"/>
  </hyperlinks>
  <pageMargins left="0.90555600000000003" right="0.51180599999999998" top="0.74791700000000005" bottom="0.74791700000000005" header="0.315278" footer="0.315278"/>
  <pageSetup paperSize="9" scale="75" fitToHeight="0" orientation="portrait" r:id="rId1"/>
  <headerFooter>
    <oddFooter>&amp;R&amp;P de &amp;N</oddFooter>
  </headerFooter>
  <rowBreaks count="4" manualBreakCount="4">
    <brk id="44" man="1"/>
    <brk id="94" man="1"/>
    <brk id="145" man="1"/>
    <brk id="202" man="1"/>
  </rowBreaks>
  <legacyDrawing r:id="rId2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workbookViewId="0">
      <selection activeCell="D31" sqref="D31"/>
    </sheetView>
  </sheetViews>
  <sheetFormatPr defaultRowHeight="12.75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12" width="9.140625" customWidth="1"/>
  </cols>
  <sheetData>
    <row r="2" spans="1:6" ht="18" x14ac:dyDescent="0.2">
      <c r="A2" s="331" t="s">
        <v>120</v>
      </c>
      <c r="B2" s="332"/>
      <c r="C2" s="333"/>
      <c r="D2" s="106"/>
      <c r="E2" s="106"/>
      <c r="F2" s="106"/>
    </row>
    <row r="3" spans="1:6" ht="14.25" x14ac:dyDescent="0.2">
      <c r="A3" s="118" t="s">
        <v>121</v>
      </c>
      <c r="B3" s="119" t="s">
        <v>122</v>
      </c>
      <c r="C3" s="120" t="s">
        <v>123</v>
      </c>
      <c r="D3" s="121"/>
    </row>
    <row r="4" spans="1:6" ht="14.25" x14ac:dyDescent="0.2">
      <c r="A4" s="118" t="s">
        <v>124</v>
      </c>
      <c r="B4" s="119" t="s">
        <v>125</v>
      </c>
      <c r="C4" s="122">
        <v>0.2</v>
      </c>
      <c r="D4" s="121"/>
    </row>
    <row r="5" spans="1:6" ht="14.25" x14ac:dyDescent="0.2">
      <c r="A5" s="118" t="s">
        <v>126</v>
      </c>
      <c r="B5" s="119" t="s">
        <v>127</v>
      </c>
      <c r="C5" s="122">
        <v>1.4999999999999999E-2</v>
      </c>
      <c r="D5" s="122"/>
    </row>
    <row r="6" spans="1:6" ht="14.25" x14ac:dyDescent="0.2">
      <c r="A6" s="118" t="s">
        <v>128</v>
      </c>
      <c r="B6" s="119" t="s">
        <v>129</v>
      </c>
      <c r="C6" s="122">
        <v>0.01</v>
      </c>
      <c r="D6" s="122"/>
    </row>
    <row r="7" spans="1:6" ht="14.25" x14ac:dyDescent="0.2">
      <c r="A7" s="118" t="s">
        <v>130</v>
      </c>
      <c r="B7" s="119" t="s">
        <v>131</v>
      </c>
      <c r="C7" s="122">
        <v>2E-3</v>
      </c>
      <c r="D7" s="122"/>
    </row>
    <row r="8" spans="1:6" ht="14.25" x14ac:dyDescent="0.2">
      <c r="A8" s="118" t="s">
        <v>132</v>
      </c>
      <c r="B8" s="119" t="s">
        <v>133</v>
      </c>
      <c r="C8" s="122">
        <v>6.0000000000000001E-3</v>
      </c>
      <c r="D8" s="122"/>
    </row>
    <row r="9" spans="1:6" ht="14.25" x14ac:dyDescent="0.2">
      <c r="A9" s="118" t="s">
        <v>134</v>
      </c>
      <c r="B9" s="119" t="s">
        <v>135</v>
      </c>
      <c r="C9" s="122">
        <v>2.5000000000000001E-2</v>
      </c>
      <c r="D9" s="121"/>
    </row>
    <row r="10" spans="1:6" ht="14.25" x14ac:dyDescent="0.2">
      <c r="A10" s="118" t="s">
        <v>136</v>
      </c>
      <c r="B10" s="119" t="s">
        <v>137</v>
      </c>
      <c r="C10" s="122">
        <v>0.03</v>
      </c>
      <c r="D10" s="121"/>
    </row>
    <row r="11" spans="1:6" ht="14.25" x14ac:dyDescent="0.2">
      <c r="A11" s="118" t="s">
        <v>138</v>
      </c>
      <c r="B11" s="119" t="s">
        <v>139</v>
      </c>
      <c r="C11" s="122">
        <v>0.08</v>
      </c>
      <c r="D11" s="121"/>
    </row>
    <row r="12" spans="1:6" ht="15" x14ac:dyDescent="0.2">
      <c r="A12" s="118" t="s">
        <v>140</v>
      </c>
      <c r="B12" s="123" t="s">
        <v>141</v>
      </c>
      <c r="C12" s="124">
        <f>SUM(C4:C11)</f>
        <v>0.36800000000000005</v>
      </c>
      <c r="D12" s="121"/>
    </row>
    <row r="13" spans="1:6" ht="15" x14ac:dyDescent="0.2">
      <c r="A13" s="125"/>
      <c r="B13" s="126"/>
      <c r="C13" s="127"/>
      <c r="D13" s="121"/>
    </row>
    <row r="14" spans="1:6" ht="14.25" x14ac:dyDescent="0.2">
      <c r="A14" s="118" t="s">
        <v>142</v>
      </c>
      <c r="B14" s="119" t="s">
        <v>143</v>
      </c>
      <c r="C14" s="122">
        <f>ROUND(IF('3.CAGED'!C25&gt;24,(1-12/'3.CAGED'!C25)*0.1111,0.1111-C23),4)</f>
        <v>6.1899999999999997E-2</v>
      </c>
      <c r="D14" s="121"/>
    </row>
    <row r="15" spans="1:6" ht="14.25" x14ac:dyDescent="0.2">
      <c r="A15" s="118" t="s">
        <v>144</v>
      </c>
      <c r="B15" s="119" t="s">
        <v>145</v>
      </c>
      <c r="C15" s="122">
        <f>ROUND('3.CAGED'!C29/'3.CAGED'!C26,4)</f>
        <v>8.3299999999999999E-2</v>
      </c>
      <c r="D15" s="121"/>
    </row>
    <row r="16" spans="1:6" ht="14.25" x14ac:dyDescent="0.2">
      <c r="A16" s="118" t="s">
        <v>146</v>
      </c>
      <c r="B16" s="119" t="s">
        <v>147</v>
      </c>
      <c r="C16" s="122">
        <v>5.9999999999999984E-4</v>
      </c>
      <c r="D16" s="121"/>
    </row>
    <row r="17" spans="1:8" ht="14.25" x14ac:dyDescent="0.2">
      <c r="A17" s="118" t="s">
        <v>148</v>
      </c>
      <c r="B17" s="119" t="s">
        <v>149</v>
      </c>
      <c r="C17" s="122">
        <v>8.2000000000000007E-3</v>
      </c>
      <c r="D17" s="121"/>
    </row>
    <row r="18" spans="1:8" ht="14.25" x14ac:dyDescent="0.2">
      <c r="A18" s="118" t="s">
        <v>150</v>
      </c>
      <c r="B18" s="119" t="s">
        <v>151</v>
      </c>
      <c r="C18" s="122">
        <v>3.0999999999999999E-3</v>
      </c>
      <c r="D18" s="121"/>
    </row>
    <row r="19" spans="1:8" ht="14.25" x14ac:dyDescent="0.2">
      <c r="A19" s="118" t="s">
        <v>152</v>
      </c>
      <c r="B19" s="119" t="s">
        <v>153</v>
      </c>
      <c r="C19" s="122">
        <v>1.66E-2</v>
      </c>
      <c r="D19" s="121"/>
    </row>
    <row r="20" spans="1:8" ht="15" x14ac:dyDescent="0.2">
      <c r="A20" s="118" t="s">
        <v>154</v>
      </c>
      <c r="B20" s="123" t="s">
        <v>155</v>
      </c>
      <c r="C20" s="124">
        <f>SUM(C14:C19)</f>
        <v>0.17369999999999999</v>
      </c>
      <c r="D20" s="128"/>
    </row>
    <row r="21" spans="1:8" ht="15" x14ac:dyDescent="0.2">
      <c r="A21" s="125"/>
      <c r="B21" s="126"/>
      <c r="C21" s="127"/>
      <c r="D21" s="128"/>
    </row>
    <row r="22" spans="1:8" ht="14.25" x14ac:dyDescent="0.2">
      <c r="A22" s="118" t="s">
        <v>156</v>
      </c>
      <c r="B22" s="119" t="s">
        <v>157</v>
      </c>
      <c r="C22" s="244">
        <f>ROUND(('3.CAGED'!C30)*('3.CAGED'!C23/'3.CAGED'!C26),4)</f>
        <v>2.5600000000000001E-2</v>
      </c>
      <c r="D22" s="245"/>
      <c r="E22" s="129"/>
    </row>
    <row r="23" spans="1:8" ht="14.25" x14ac:dyDescent="0.2">
      <c r="A23" s="118" t="s">
        <v>158</v>
      </c>
      <c r="B23" s="119" t="s">
        <v>159</v>
      </c>
      <c r="C23" s="122">
        <f>ROUND(IF('3.CAGED'!C25&gt;12,12/'3.CAGED'!C25*0.1111,0.1111),4)</f>
        <v>4.9200000000000001E-2</v>
      </c>
      <c r="D23" s="121"/>
      <c r="H23" s="130"/>
    </row>
    <row r="24" spans="1:8" ht="14.25" x14ac:dyDescent="0.2">
      <c r="A24" s="118" t="s">
        <v>160</v>
      </c>
      <c r="B24" s="119" t="s">
        <v>161</v>
      </c>
      <c r="C24" s="122">
        <f>C22*C23</f>
        <v>1.2595200000000001E-3</v>
      </c>
      <c r="D24" s="121"/>
      <c r="E24" s="129"/>
    </row>
    <row r="25" spans="1:8" ht="14.25" x14ac:dyDescent="0.2">
      <c r="A25" s="118" t="s">
        <v>162</v>
      </c>
      <c r="B25" s="119" t="s">
        <v>163</v>
      </c>
      <c r="C25" s="122">
        <f>ROUND(('3.CAGED'!C26+'3.CAGED'!C27+'3.CAGED'!C29)/'3.CAGED'!C24*'3.CAGED'!C31*'3.CAGED'!C32*'3.CAGED'!C23/'3.CAGED'!C26,4)</f>
        <v>2.0500000000000001E-2</v>
      </c>
      <c r="D25" s="121"/>
      <c r="G25" s="129"/>
    </row>
    <row r="26" spans="1:8" ht="14.25" x14ac:dyDescent="0.2">
      <c r="A26" s="118" t="s">
        <v>164</v>
      </c>
      <c r="B26" s="119" t="s">
        <v>165</v>
      </c>
      <c r="C26" s="122">
        <f>ROUND(('3.CAGED'!C28/'3.CAGED'!C26)*'3.CAGED'!C23/12,4)</f>
        <v>1.8E-3</v>
      </c>
      <c r="D26" s="121"/>
    </row>
    <row r="27" spans="1:8" ht="15" x14ac:dyDescent="0.2">
      <c r="A27" s="118" t="s">
        <v>166</v>
      </c>
      <c r="B27" s="123" t="s">
        <v>167</v>
      </c>
      <c r="C27" s="124">
        <f>SUM(C22:C26)</f>
        <v>9.8359520000000006E-2</v>
      </c>
      <c r="D27" s="128"/>
    </row>
    <row r="28" spans="1:8" ht="15" x14ac:dyDescent="0.2">
      <c r="A28" s="125"/>
      <c r="B28" s="126"/>
      <c r="C28" s="127"/>
      <c r="D28" s="128"/>
    </row>
    <row r="29" spans="1:8" ht="14.25" x14ac:dyDescent="0.2">
      <c r="A29" s="118" t="s">
        <v>168</v>
      </c>
      <c r="B29" s="119" t="s">
        <v>169</v>
      </c>
      <c r="C29" s="122">
        <f>ROUND(C12*C20,4)</f>
        <v>6.3899999999999998E-2</v>
      </c>
      <c r="D29" s="121"/>
    </row>
    <row r="30" spans="1:8" ht="28.5" x14ac:dyDescent="0.2">
      <c r="A30" s="118" t="s">
        <v>170</v>
      </c>
      <c r="B30" s="131" t="s">
        <v>171</v>
      </c>
      <c r="C30" s="122">
        <f>ROUND((C22*C11),4)</f>
        <v>2E-3</v>
      </c>
      <c r="D30" s="121"/>
    </row>
    <row r="31" spans="1:8" ht="15" x14ac:dyDescent="0.2">
      <c r="A31" s="118" t="s">
        <v>172</v>
      </c>
      <c r="B31" s="123" t="s">
        <v>173</v>
      </c>
      <c r="C31" s="124">
        <f>SUM(C29:C30)</f>
        <v>6.59E-2</v>
      </c>
      <c r="D31" s="128"/>
    </row>
    <row r="32" spans="1:8" ht="15" x14ac:dyDescent="0.2">
      <c r="A32" s="132"/>
      <c r="B32" s="133" t="s">
        <v>174</v>
      </c>
      <c r="C32" s="134">
        <f>C31+C27+C20+C12</f>
        <v>0.70595951999999995</v>
      </c>
      <c r="D32" s="128"/>
    </row>
    <row r="33" spans="1:4" ht="15" x14ac:dyDescent="0.2">
      <c r="A33" s="121"/>
      <c r="B33" s="135"/>
      <c r="C33" s="136"/>
      <c r="D33" s="137"/>
    </row>
    <row r="34" spans="1:4" ht="14.25" x14ac:dyDescent="0.2">
      <c r="A34" s="121"/>
      <c r="B34" s="121"/>
      <c r="C34" s="138"/>
      <c r="D34" s="139"/>
    </row>
    <row r="35" spans="1:4" ht="14.25" x14ac:dyDescent="0.2">
      <c r="A35" s="121"/>
      <c r="B35" s="121"/>
      <c r="C35" s="138"/>
      <c r="D35" s="121"/>
    </row>
    <row r="36" spans="1:4" ht="14.25" x14ac:dyDescent="0.2">
      <c r="A36" s="121"/>
      <c r="B36" s="121"/>
      <c r="C36" s="138"/>
      <c r="D36" s="121"/>
    </row>
    <row r="37" spans="1:4" ht="14.25" x14ac:dyDescent="0.2">
      <c r="A37" s="121"/>
      <c r="B37" s="121"/>
      <c r="C37" s="138"/>
      <c r="D37" s="121"/>
    </row>
    <row r="38" spans="1:4" ht="15" x14ac:dyDescent="0.2">
      <c r="A38" s="121"/>
      <c r="B38" s="135"/>
      <c r="C38" s="136"/>
      <c r="D38" s="121"/>
    </row>
    <row r="39" spans="1:4" ht="15" x14ac:dyDescent="0.2">
      <c r="A39" s="128"/>
      <c r="B39" s="135"/>
      <c r="C39" s="136"/>
      <c r="D39" s="128"/>
    </row>
    <row r="40" spans="1:4" ht="16.5" x14ac:dyDescent="0.2">
      <c r="A40" s="140"/>
    </row>
    <row r="41" spans="1:4" x14ac:dyDescent="0.2">
      <c r="A41" s="141"/>
    </row>
    <row r="42" spans="1:4" ht="14.25" x14ac:dyDescent="0.2">
      <c r="A42" s="121"/>
      <c r="B42" s="142"/>
    </row>
    <row r="43" spans="1:4" ht="14.25" x14ac:dyDescent="0.2">
      <c r="A43" s="121"/>
      <c r="B43" s="142"/>
      <c r="C43" s="121"/>
    </row>
    <row r="44" spans="1:4" ht="14.25" x14ac:dyDescent="0.2">
      <c r="A44" s="121"/>
      <c r="B44" s="138"/>
    </row>
    <row r="45" spans="1:4" ht="14.25" x14ac:dyDescent="0.2">
      <c r="A45" s="121"/>
      <c r="B45" s="142"/>
      <c r="C45" s="121"/>
    </row>
    <row r="46" spans="1:4" ht="14.25" x14ac:dyDescent="0.2">
      <c r="A46" s="121"/>
      <c r="B46" s="138"/>
    </row>
    <row r="47" spans="1:4" ht="14.25" x14ac:dyDescent="0.2">
      <c r="A47" s="121"/>
      <c r="B47" s="142"/>
      <c r="C47" s="121"/>
    </row>
    <row r="48" spans="1:4" ht="14.25" x14ac:dyDescent="0.2">
      <c r="A48" s="121"/>
      <c r="B48" s="138"/>
    </row>
    <row r="49" spans="1:3" ht="14.25" x14ac:dyDescent="0.2">
      <c r="A49" s="121"/>
      <c r="B49" s="142"/>
      <c r="C49" s="121"/>
    </row>
    <row r="50" spans="1:3" ht="14.25" x14ac:dyDescent="0.2">
      <c r="A50" s="121"/>
      <c r="B50" s="138"/>
    </row>
    <row r="51" spans="1:3" ht="16.5" x14ac:dyDescent="0.2">
      <c r="A51" s="140"/>
    </row>
    <row r="54" spans="1:3" x14ac:dyDescent="0.2">
      <c r="A54" s="75"/>
    </row>
  </sheetData>
  <mergeCells count="1">
    <mergeCell ref="A2:C2"/>
  </mergeCells>
  <pageMargins left="0.90555600000000003" right="0.51180599999999998" top="0.74791700000000005" bottom="0.74791700000000005" header="0.315278" footer="0.315278"/>
  <pageSetup paperSize="9" fitToWidth="0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32" sqref="D32"/>
    </sheetView>
  </sheetViews>
  <sheetFormatPr defaultRowHeight="12.75" x14ac:dyDescent="0.2"/>
  <cols>
    <col min="1" max="1" width="8.5703125" customWidth="1"/>
    <col min="2" max="2" width="58.7109375" customWidth="1"/>
    <col min="3" max="3" width="13.7109375" customWidth="1"/>
    <col min="4" max="4" width="10.28515625" customWidth="1"/>
    <col min="5" max="5" width="13.7109375" customWidth="1"/>
    <col min="6" max="6" width="9.140625" customWidth="1"/>
  </cols>
  <sheetData>
    <row r="1" spans="1:10" x14ac:dyDescent="0.2">
      <c r="A1" s="338" t="s">
        <v>175</v>
      </c>
      <c r="B1" s="338"/>
      <c r="C1" s="338"/>
      <c r="D1" s="338"/>
    </row>
    <row r="2" spans="1:10" x14ac:dyDescent="0.2">
      <c r="A2" s="336" t="s">
        <v>269</v>
      </c>
      <c r="B2" s="337"/>
      <c r="C2" s="337"/>
    </row>
    <row r="3" spans="1:10" ht="18.75" customHeight="1" thickBot="1" x14ac:dyDescent="0.25">
      <c r="A3" s="337"/>
      <c r="B3" s="337"/>
      <c r="C3" s="337"/>
    </row>
    <row r="4" spans="1:10" ht="18" x14ac:dyDescent="0.25">
      <c r="B4" s="334" t="s">
        <v>176</v>
      </c>
      <c r="C4" s="335"/>
    </row>
    <row r="5" spans="1:10" ht="15" x14ac:dyDescent="0.25">
      <c r="B5" s="108" t="s">
        <v>177</v>
      </c>
      <c r="C5" s="255"/>
    </row>
    <row r="6" spans="1:10" ht="15" x14ac:dyDescent="0.25">
      <c r="B6" s="253" t="s">
        <v>178</v>
      </c>
      <c r="C6" s="257">
        <v>2100</v>
      </c>
      <c r="D6" s="251"/>
      <c r="E6" s="249"/>
      <c r="F6" s="249"/>
      <c r="G6" s="249"/>
      <c r="H6" s="248"/>
      <c r="I6" s="249"/>
      <c r="J6" s="249"/>
    </row>
    <row r="7" spans="1:10" ht="15" x14ac:dyDescent="0.25">
      <c r="B7" s="108" t="s">
        <v>179</v>
      </c>
      <c r="C7" s="257">
        <v>2031</v>
      </c>
      <c r="D7" s="251"/>
      <c r="E7" s="249"/>
      <c r="F7" s="249"/>
      <c r="G7" s="249"/>
      <c r="H7" s="248"/>
      <c r="I7" s="249"/>
      <c r="J7" s="249"/>
    </row>
    <row r="8" spans="1:10" ht="14.25" x14ac:dyDescent="0.2">
      <c r="B8" s="254" t="s">
        <v>180</v>
      </c>
      <c r="C8" s="258">
        <v>44</v>
      </c>
      <c r="D8" s="252"/>
      <c r="E8" s="249"/>
      <c r="F8" s="249"/>
      <c r="G8" s="249"/>
      <c r="H8" s="249"/>
      <c r="I8" s="249"/>
      <c r="J8" s="249"/>
    </row>
    <row r="9" spans="1:10" ht="14.25" x14ac:dyDescent="0.2">
      <c r="B9" s="254" t="s">
        <v>181</v>
      </c>
      <c r="C9" s="258">
        <v>1192</v>
      </c>
      <c r="D9" s="252"/>
      <c r="E9" s="249"/>
      <c r="F9" s="249"/>
      <c r="G9" s="249"/>
      <c r="H9" s="249"/>
      <c r="I9" s="249"/>
      <c r="J9" s="249"/>
    </row>
    <row r="10" spans="1:10" ht="14.25" x14ac:dyDescent="0.2">
      <c r="B10" s="254" t="s">
        <v>182</v>
      </c>
      <c r="C10" s="258">
        <v>372</v>
      </c>
      <c r="D10" s="252"/>
      <c r="E10" s="249"/>
      <c r="F10" s="249"/>
      <c r="G10" s="249"/>
      <c r="H10" s="249"/>
      <c r="I10" s="249"/>
      <c r="J10" s="249"/>
    </row>
    <row r="11" spans="1:10" ht="14.25" x14ac:dyDescent="0.2">
      <c r="B11" s="254" t="s">
        <v>183</v>
      </c>
      <c r="C11" s="258">
        <v>22</v>
      </c>
      <c r="D11" s="252"/>
      <c r="E11" s="249"/>
      <c r="F11" s="249"/>
      <c r="G11" s="249"/>
      <c r="H11" s="249"/>
      <c r="I11" s="249"/>
      <c r="J11" s="249"/>
    </row>
    <row r="12" spans="1:10" ht="14.25" x14ac:dyDescent="0.2">
      <c r="B12" s="254" t="s">
        <v>184</v>
      </c>
      <c r="C12" s="258">
        <v>350</v>
      </c>
      <c r="D12" s="252"/>
      <c r="E12" s="249"/>
      <c r="F12" s="249"/>
      <c r="G12" s="249"/>
      <c r="H12" s="249"/>
      <c r="I12" s="249"/>
      <c r="J12" s="249"/>
    </row>
    <row r="13" spans="1:10" ht="14.25" x14ac:dyDescent="0.2">
      <c r="B13" s="254" t="s">
        <v>185</v>
      </c>
      <c r="C13" s="258">
        <v>1</v>
      </c>
      <c r="D13" s="252"/>
      <c r="E13" s="249"/>
      <c r="F13" s="249"/>
      <c r="G13" s="249"/>
      <c r="H13" s="249"/>
      <c r="I13" s="249"/>
      <c r="J13" s="249"/>
    </row>
    <row r="14" spans="1:10" ht="14.25" x14ac:dyDescent="0.2">
      <c r="B14" s="254" t="s">
        <v>186</v>
      </c>
      <c r="C14" s="258">
        <v>30</v>
      </c>
      <c r="D14" s="252"/>
      <c r="E14" s="249"/>
      <c r="F14" s="249"/>
      <c r="G14" s="249"/>
      <c r="H14" s="249"/>
      <c r="I14" s="249"/>
      <c r="J14" s="249"/>
    </row>
    <row r="15" spans="1:10" ht="14.25" x14ac:dyDescent="0.2">
      <c r="B15" s="223" t="s">
        <v>187</v>
      </c>
      <c r="C15" s="259">
        <v>0</v>
      </c>
      <c r="D15" s="252"/>
      <c r="E15" s="249"/>
      <c r="F15" s="249"/>
      <c r="G15" s="249"/>
      <c r="H15" s="249"/>
      <c r="I15" s="249"/>
      <c r="J15" s="249"/>
    </row>
    <row r="16" spans="1:10" ht="14.25" x14ac:dyDescent="0.2">
      <c r="B16" s="223" t="s">
        <v>188</v>
      </c>
      <c r="C16" s="259">
        <v>0</v>
      </c>
      <c r="D16" s="252"/>
      <c r="E16" s="249"/>
      <c r="F16" s="249"/>
      <c r="G16" s="249"/>
      <c r="H16" s="249"/>
      <c r="I16" s="249"/>
      <c r="J16" s="249"/>
    </row>
    <row r="17" spans="1:10" ht="15" x14ac:dyDescent="0.25">
      <c r="A17" t="s">
        <v>189</v>
      </c>
      <c r="B17" s="108" t="s">
        <v>190</v>
      </c>
      <c r="C17" s="260"/>
      <c r="D17" s="252"/>
      <c r="E17" s="249"/>
      <c r="F17" s="249"/>
      <c r="G17" s="249"/>
      <c r="H17" s="249"/>
      <c r="I17" s="249"/>
      <c r="J17" s="249"/>
    </row>
    <row r="18" spans="1:10" ht="14.25" x14ac:dyDescent="0.2">
      <c r="B18" s="262" t="s">
        <v>267</v>
      </c>
      <c r="C18" s="261">
        <v>4625</v>
      </c>
      <c r="D18" s="252"/>
      <c r="E18" s="249"/>
      <c r="F18" s="249"/>
      <c r="G18" s="249"/>
      <c r="H18" s="249"/>
      <c r="I18" s="249"/>
      <c r="J18" s="249"/>
    </row>
    <row r="19" spans="1:10" ht="14.25" x14ac:dyDescent="0.2">
      <c r="B19" s="254" t="s">
        <v>191</v>
      </c>
      <c r="C19" s="258">
        <v>4694</v>
      </c>
      <c r="D19" s="252"/>
      <c r="E19" s="249"/>
      <c r="F19" s="249"/>
      <c r="G19" s="249"/>
      <c r="H19" s="249"/>
      <c r="I19" s="249"/>
      <c r="J19" s="249"/>
    </row>
    <row r="20" spans="1:10" ht="14.25" x14ac:dyDescent="0.2">
      <c r="B20" s="263" t="s">
        <v>268</v>
      </c>
      <c r="C20" s="256">
        <f>C6-C7</f>
        <v>69</v>
      </c>
      <c r="D20" s="249"/>
      <c r="E20" s="249"/>
      <c r="F20" s="249"/>
      <c r="G20" s="249"/>
      <c r="H20" s="249"/>
      <c r="I20" s="249"/>
      <c r="J20" s="249"/>
    </row>
    <row r="21" spans="1:10" ht="14.25" x14ac:dyDescent="0.2">
      <c r="B21" s="145"/>
      <c r="C21" s="146"/>
      <c r="D21" s="249"/>
      <c r="E21" s="249"/>
      <c r="F21" s="249"/>
      <c r="G21" s="249"/>
      <c r="H21" s="249"/>
      <c r="I21" s="249"/>
      <c r="J21" s="249"/>
    </row>
    <row r="22" spans="1:10" s="76" customFormat="1" ht="15" x14ac:dyDescent="0.25">
      <c r="B22" s="109" t="s">
        <v>192</v>
      </c>
      <c r="C22" s="111">
        <f>MEDIAN(C18,C19)</f>
        <v>4659.5</v>
      </c>
      <c r="D22" s="250"/>
      <c r="E22" s="250"/>
      <c r="F22" s="250"/>
      <c r="G22" s="250"/>
      <c r="H22" s="250"/>
      <c r="I22" s="250"/>
      <c r="J22" s="250"/>
    </row>
    <row r="23" spans="1:10" ht="15" x14ac:dyDescent="0.25">
      <c r="B23" s="110" t="s">
        <v>193</v>
      </c>
      <c r="C23" s="221">
        <f>C9/C22</f>
        <v>0.25582144006867691</v>
      </c>
      <c r="D23" s="249"/>
      <c r="E23" s="249"/>
      <c r="F23" s="249"/>
      <c r="G23" s="249"/>
      <c r="H23" s="249"/>
      <c r="I23" s="249"/>
      <c r="J23" s="249"/>
    </row>
    <row r="24" spans="1:10" ht="15" x14ac:dyDescent="0.25">
      <c r="B24" s="110" t="s">
        <v>194</v>
      </c>
      <c r="C24" s="221">
        <f>MEDIAN(C6,C7)/C22</f>
        <v>0.44328790642772831</v>
      </c>
      <c r="D24" s="249"/>
      <c r="E24" s="249"/>
      <c r="F24" s="249"/>
      <c r="G24" s="249"/>
      <c r="H24" s="249"/>
      <c r="I24" s="249"/>
      <c r="J24" s="249"/>
    </row>
    <row r="25" spans="1:10" s="76" customFormat="1" ht="15" x14ac:dyDescent="0.25">
      <c r="B25" s="110" t="s">
        <v>195</v>
      </c>
      <c r="C25" s="219">
        <f>12/C24</f>
        <v>27.070442992011618</v>
      </c>
    </row>
    <row r="26" spans="1:10" ht="15" x14ac:dyDescent="0.25">
      <c r="B26" s="110" t="s">
        <v>196</v>
      </c>
      <c r="C26" s="112">
        <v>360</v>
      </c>
    </row>
    <row r="27" spans="1:10" ht="15" x14ac:dyDescent="0.25">
      <c r="B27" s="110" t="s">
        <v>197</v>
      </c>
      <c r="C27" s="112">
        <v>10</v>
      </c>
    </row>
    <row r="28" spans="1:10" ht="15" x14ac:dyDescent="0.25">
      <c r="B28" s="109" t="s">
        <v>198</v>
      </c>
      <c r="C28" s="111">
        <v>30</v>
      </c>
    </row>
    <row r="29" spans="1:10" ht="15" x14ac:dyDescent="0.25">
      <c r="B29" s="109" t="s">
        <v>199</v>
      </c>
      <c r="C29" s="111">
        <v>30</v>
      </c>
    </row>
    <row r="30" spans="1:10" s="76" customFormat="1" ht="15" x14ac:dyDescent="0.25">
      <c r="B30" s="109" t="s">
        <v>200</v>
      </c>
      <c r="C30" s="111">
        <f>30+(3*TRUNC(1/C24))</f>
        <v>36</v>
      </c>
    </row>
    <row r="31" spans="1:10" s="76" customFormat="1" ht="15" x14ac:dyDescent="0.25">
      <c r="B31" s="110" t="s">
        <v>139</v>
      </c>
      <c r="C31" s="220">
        <v>0.08</v>
      </c>
    </row>
    <row r="32" spans="1:10" s="76" customFormat="1" ht="15" x14ac:dyDescent="0.25">
      <c r="B32" s="113" t="s">
        <v>201</v>
      </c>
      <c r="C32" s="222">
        <v>0.4</v>
      </c>
      <c r="D32" s="76" t="s">
        <v>202</v>
      </c>
    </row>
  </sheetData>
  <mergeCells count="3">
    <mergeCell ref="B4:C4"/>
    <mergeCell ref="A2:C3"/>
    <mergeCell ref="A1:D1"/>
  </mergeCells>
  <pageMargins left="0.90555600000000003" right="0.51180599999999998" top="0.74791700000000005" bottom="0.74791700000000005" header="0.315278" footer="0.315278"/>
  <pageSetup paperSize="9" scale="98" fitToWidth="0" orientation="portrait"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workbookViewId="0">
      <selection activeCell="H15" sqref="H15"/>
    </sheetView>
  </sheetViews>
  <sheetFormatPr defaultRowHeight="12.75" x14ac:dyDescent="0.2"/>
  <cols>
    <col min="1" max="1" width="41.85546875" customWidth="1"/>
    <col min="2" max="2" width="5.5703125" customWidth="1"/>
    <col min="4" max="4" width="9.7109375" customWidth="1"/>
    <col min="5" max="5" width="8" style="86" customWidth="1"/>
    <col min="6" max="6" width="9.7109375" customWidth="1"/>
    <col min="8" max="8" width="10.85546875" customWidth="1"/>
  </cols>
  <sheetData>
    <row r="1" spans="1:9" s="103" customFormat="1" ht="14.25" x14ac:dyDescent="0.2">
      <c r="A1" s="8" t="s">
        <v>0</v>
      </c>
      <c r="B1" s="7"/>
      <c r="C1" s="7"/>
      <c r="E1" s="104"/>
    </row>
    <row r="2" spans="1:9" s="103" customFormat="1" ht="14.25" x14ac:dyDescent="0.2">
      <c r="A2" s="5" t="s">
        <v>203</v>
      </c>
      <c r="B2" s="7"/>
      <c r="C2" s="7"/>
      <c r="E2" s="104"/>
    </row>
    <row r="3" spans="1:9" s="103" customFormat="1" ht="14.25" x14ac:dyDescent="0.2">
      <c r="A3" s="4" t="s">
        <v>204</v>
      </c>
      <c r="B3" s="7"/>
      <c r="C3" s="7"/>
      <c r="E3" s="104"/>
    </row>
    <row r="4" spans="1:9" s="103" customFormat="1" ht="14.25" x14ac:dyDescent="0.2">
      <c r="A4" s="4"/>
      <c r="B4" s="7"/>
      <c r="C4" s="7"/>
      <c r="E4" s="104"/>
    </row>
    <row r="5" spans="1:9" s="103" customFormat="1" ht="15" thickBot="1" x14ac:dyDescent="0.25">
      <c r="B5" s="7"/>
      <c r="C5" s="7"/>
      <c r="E5" s="104"/>
    </row>
    <row r="6" spans="1:9" ht="15.75" x14ac:dyDescent="0.2">
      <c r="A6" s="339" t="s">
        <v>205</v>
      </c>
      <c r="B6" s="340"/>
      <c r="C6" s="340"/>
      <c r="D6" s="340"/>
      <c r="E6" s="340"/>
      <c r="F6" s="341"/>
    </row>
    <row r="7" spans="1:9" ht="15.75" x14ac:dyDescent="0.2">
      <c r="A7" s="190"/>
      <c r="B7" s="191"/>
      <c r="C7" s="191"/>
      <c r="D7" s="191"/>
      <c r="E7" s="191"/>
      <c r="F7" s="192"/>
    </row>
    <row r="8" spans="1:9" ht="15" x14ac:dyDescent="0.25">
      <c r="A8" s="147"/>
      <c r="B8" s="7"/>
      <c r="C8" s="7"/>
      <c r="D8" s="342" t="s">
        <v>206</v>
      </c>
      <c r="E8" s="343"/>
      <c r="F8" s="344"/>
      <c r="G8" s="103"/>
      <c r="H8" s="103"/>
    </row>
    <row r="9" spans="1:9" ht="14.25" x14ac:dyDescent="0.2">
      <c r="A9" s="145"/>
      <c r="B9" s="103"/>
      <c r="C9" s="103"/>
      <c r="D9" s="148" t="s">
        <v>207</v>
      </c>
      <c r="E9" s="149" t="s">
        <v>208</v>
      </c>
      <c r="F9" s="150" t="s">
        <v>209</v>
      </c>
      <c r="G9" s="103"/>
      <c r="H9" s="103"/>
    </row>
    <row r="10" spans="1:9" ht="14.25" x14ac:dyDescent="0.2">
      <c r="A10" s="151" t="s">
        <v>210</v>
      </c>
      <c r="B10" s="152" t="s">
        <v>211</v>
      </c>
      <c r="C10" s="153"/>
      <c r="D10" s="173">
        <v>2.9699999999999997E-2</v>
      </c>
      <c r="E10" s="174">
        <v>5.0799999999999998E-2</v>
      </c>
      <c r="F10" s="175">
        <v>6.2699999999999992E-2</v>
      </c>
      <c r="G10" s="103"/>
      <c r="H10" s="103"/>
    </row>
    <row r="11" spans="1:9" ht="14.25" x14ac:dyDescent="0.2">
      <c r="A11" s="118" t="s">
        <v>212</v>
      </c>
      <c r="B11" s="155" t="s">
        <v>213</v>
      </c>
      <c r="C11" s="156"/>
      <c r="D11" s="173">
        <f>0.3%+0.56%</f>
        <v>8.6E-3</v>
      </c>
      <c r="E11" s="174">
        <f>0.48%+0.85%</f>
        <v>1.3299999999999999E-2</v>
      </c>
      <c r="F11" s="175">
        <f>0.82%+0.89%</f>
        <v>1.7099999999999997E-2</v>
      </c>
      <c r="G11" s="103"/>
      <c r="H11" s="103"/>
    </row>
    <row r="12" spans="1:9" ht="14.25" x14ac:dyDescent="0.2">
      <c r="A12" s="118" t="s">
        <v>214</v>
      </c>
      <c r="B12" s="155" t="s">
        <v>215</v>
      </c>
      <c r="C12" s="156"/>
      <c r="D12" s="173">
        <v>7.779999999999998E-2</v>
      </c>
      <c r="E12" s="174">
        <v>0.1085</v>
      </c>
      <c r="F12" s="175">
        <v>0.13550000000000001</v>
      </c>
      <c r="G12" s="103"/>
      <c r="H12" s="242"/>
      <c r="I12" s="243"/>
    </row>
    <row r="13" spans="1:9" ht="14.25" x14ac:dyDescent="0.2">
      <c r="A13" s="118" t="s">
        <v>216</v>
      </c>
      <c r="B13" s="155" t="s">
        <v>217</v>
      </c>
      <c r="C13" s="157">
        <f>(1+E13)^(E14/252)-1</f>
        <v>0</v>
      </c>
      <c r="D13" s="173" t="s">
        <v>218</v>
      </c>
      <c r="E13" s="158"/>
      <c r="F13" s="154"/>
      <c r="G13" s="103"/>
      <c r="H13" s="103"/>
    </row>
    <row r="14" spans="1:9" ht="14.25" x14ac:dyDescent="0.2">
      <c r="A14" s="118" t="s">
        <v>219</v>
      </c>
      <c r="B14" s="345" t="s">
        <v>220</v>
      </c>
      <c r="C14" s="156"/>
      <c r="D14" s="218" t="s">
        <v>221</v>
      </c>
      <c r="E14" s="159"/>
      <c r="F14" s="160"/>
      <c r="G14" s="103"/>
      <c r="H14" s="103"/>
    </row>
    <row r="15" spans="1:9" ht="14.25" x14ac:dyDescent="0.2">
      <c r="A15" s="161" t="s">
        <v>222</v>
      </c>
      <c r="B15" s="346"/>
      <c r="C15" s="162"/>
      <c r="D15" s="143"/>
      <c r="E15" s="163"/>
      <c r="F15" s="160"/>
      <c r="G15" s="103"/>
      <c r="H15" s="103"/>
    </row>
    <row r="16" spans="1:9" ht="14.25" x14ac:dyDescent="0.2">
      <c r="A16" s="164" t="s">
        <v>223</v>
      </c>
      <c r="B16" s="165"/>
      <c r="C16" s="166"/>
      <c r="D16" s="143"/>
      <c r="E16" s="163"/>
      <c r="F16" s="160"/>
      <c r="G16" s="103"/>
      <c r="H16" s="103"/>
    </row>
    <row r="17" spans="1:8" ht="14.25" x14ac:dyDescent="0.2">
      <c r="A17" s="167" t="s">
        <v>224</v>
      </c>
      <c r="B17" s="168"/>
      <c r="C17" s="169"/>
      <c r="D17" s="143"/>
      <c r="E17" s="163"/>
      <c r="F17" s="160"/>
      <c r="G17" s="103"/>
      <c r="H17" s="103"/>
    </row>
    <row r="18" spans="1:8" ht="15" x14ac:dyDescent="0.2">
      <c r="A18" s="170" t="s">
        <v>225</v>
      </c>
      <c r="B18" s="171"/>
      <c r="C18" s="172">
        <f>ROUND((((1+C10+C11)*(1+C12)*(1+C13))/(1-(C14+C15))-1),4)</f>
        <v>0</v>
      </c>
      <c r="D18" s="176">
        <v>0.21429999999999999</v>
      </c>
      <c r="E18" s="177">
        <v>0.2717</v>
      </c>
      <c r="F18" s="178">
        <v>0.3362</v>
      </c>
      <c r="G18" s="103"/>
      <c r="H18" s="103"/>
    </row>
    <row r="19" spans="1:8" ht="14.25" x14ac:dyDescent="0.2">
      <c r="A19" s="103"/>
      <c r="B19" s="103"/>
      <c r="C19" s="103"/>
      <c r="D19" s="103"/>
      <c r="E19" s="104"/>
      <c r="F19" s="103"/>
      <c r="G19" s="103"/>
      <c r="H19" s="103"/>
    </row>
    <row r="20" spans="1:8" ht="14.25" x14ac:dyDescent="0.2">
      <c r="A20" s="103"/>
      <c r="B20" s="103"/>
      <c r="C20" s="103"/>
      <c r="D20" s="103"/>
      <c r="E20" s="104"/>
      <c r="F20" s="103"/>
      <c r="G20" s="103"/>
      <c r="H20" s="103"/>
    </row>
    <row r="21" spans="1:8" ht="14.25" x14ac:dyDescent="0.2">
      <c r="A21" s="103"/>
      <c r="B21" s="103"/>
      <c r="C21" s="103"/>
      <c r="D21" s="103"/>
      <c r="E21" s="104"/>
      <c r="F21" s="103"/>
      <c r="G21" s="103"/>
      <c r="H21" s="103"/>
    </row>
    <row r="22" spans="1:8" ht="14.25" x14ac:dyDescent="0.2">
      <c r="A22" s="103"/>
      <c r="B22" s="103"/>
      <c r="C22" s="103"/>
      <c r="D22" s="103"/>
      <c r="E22" s="104"/>
      <c r="F22" s="103"/>
      <c r="G22" s="103"/>
      <c r="H22" s="103"/>
    </row>
  </sheetData>
  <mergeCells count="3">
    <mergeCell ref="A6:F6"/>
    <mergeCell ref="D8:F8"/>
    <mergeCell ref="B14:B15"/>
  </mergeCells>
  <pageMargins left="0.90555600000000003" right="0.51180599999999998" top="0.74791700000000005" bottom="0.74791700000000005" header="0.315278" footer="0.315278"/>
  <pageSetup paperSize="9" fitToWidth="0"/>
  <legacyDrawing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16" workbookViewId="0">
      <selection activeCell="E15" sqref="E15"/>
    </sheetView>
  </sheetViews>
  <sheetFormatPr defaultRowHeight="19.5" customHeight="1" x14ac:dyDescent="0.2"/>
  <cols>
    <col min="1" max="1" width="24.5703125" customWidth="1"/>
    <col min="2" max="2" width="20.85546875" customWidth="1"/>
    <col min="3" max="3" width="9.140625" customWidth="1"/>
  </cols>
  <sheetData>
    <row r="1" spans="1:2" ht="19.5" customHeight="1" x14ac:dyDescent="0.2">
      <c r="A1" s="347" t="s">
        <v>226</v>
      </c>
      <c r="B1" s="348"/>
    </row>
    <row r="2" spans="1:2" s="76" customFormat="1" ht="19.5" customHeight="1" x14ac:dyDescent="0.2">
      <c r="A2" s="193" t="s">
        <v>227</v>
      </c>
      <c r="B2" s="194" t="s">
        <v>228</v>
      </c>
    </row>
    <row r="3" spans="1:2" ht="19.5" customHeight="1" x14ac:dyDescent="0.2">
      <c r="A3" s="115">
        <v>1</v>
      </c>
      <c r="B3" s="114">
        <v>33.629999999999995</v>
      </c>
    </row>
    <row r="4" spans="1:2" ht="19.5" customHeight="1" x14ac:dyDescent="0.2">
      <c r="A4" s="115">
        <v>2</v>
      </c>
      <c r="B4" s="114">
        <v>43.13</v>
      </c>
    </row>
    <row r="5" spans="1:2" ht="19.5" customHeight="1" x14ac:dyDescent="0.2">
      <c r="A5" s="115">
        <v>3</v>
      </c>
      <c r="B5" s="114">
        <v>48.68</v>
      </c>
    </row>
    <row r="6" spans="1:2" ht="19.5" customHeight="1" x14ac:dyDescent="0.2">
      <c r="A6" s="115">
        <v>4</v>
      </c>
      <c r="B6" s="114">
        <v>52.62</v>
      </c>
    </row>
    <row r="7" spans="1:2" ht="19.5" customHeight="1" x14ac:dyDescent="0.2">
      <c r="A7" s="115">
        <v>5</v>
      </c>
      <c r="B7" s="114">
        <v>55.679999999999993</v>
      </c>
    </row>
    <row r="8" spans="1:2" ht="19.5" customHeight="1" x14ac:dyDescent="0.2">
      <c r="A8" s="115">
        <v>6</v>
      </c>
      <c r="B8" s="114">
        <v>58.18</v>
      </c>
    </row>
    <row r="9" spans="1:2" ht="19.5" customHeight="1" x14ac:dyDescent="0.2">
      <c r="A9" s="115">
        <v>7</v>
      </c>
      <c r="B9" s="114">
        <v>60.29</v>
      </c>
    </row>
    <row r="10" spans="1:2" ht="19.5" customHeight="1" x14ac:dyDescent="0.2">
      <c r="A10" s="115">
        <v>8</v>
      </c>
      <c r="B10" s="114">
        <v>62.12</v>
      </c>
    </row>
    <row r="11" spans="1:2" ht="19.5" customHeight="1" x14ac:dyDescent="0.2">
      <c r="A11" s="115">
        <v>9</v>
      </c>
      <c r="B11" s="114">
        <v>63.73</v>
      </c>
    </row>
    <row r="12" spans="1:2" ht="19.5" customHeight="1" x14ac:dyDescent="0.2">
      <c r="A12" s="115">
        <v>10</v>
      </c>
      <c r="B12" s="114">
        <v>65.180000000000007</v>
      </c>
    </row>
    <row r="13" spans="1:2" ht="19.5" customHeight="1" x14ac:dyDescent="0.2">
      <c r="A13" s="115">
        <v>11</v>
      </c>
      <c r="B13" s="114">
        <v>66.47999999999999</v>
      </c>
    </row>
    <row r="14" spans="1:2" ht="19.5" customHeight="1" x14ac:dyDescent="0.2">
      <c r="A14" s="115">
        <v>12</v>
      </c>
      <c r="B14" s="114">
        <v>67.67</v>
      </c>
    </row>
    <row r="15" spans="1:2" ht="19.5" customHeight="1" x14ac:dyDescent="0.2">
      <c r="A15" s="115">
        <v>13</v>
      </c>
      <c r="B15" s="114">
        <v>68.77</v>
      </c>
    </row>
    <row r="16" spans="1:2" ht="19.5" customHeight="1" x14ac:dyDescent="0.2">
      <c r="A16" s="115">
        <v>14</v>
      </c>
      <c r="B16" s="114">
        <v>69.789999999999992</v>
      </c>
    </row>
    <row r="17" spans="1:2" ht="19.5" customHeight="1" x14ac:dyDescent="0.2">
      <c r="A17" s="116">
        <v>15</v>
      </c>
      <c r="B17" s="117">
        <v>70.73</v>
      </c>
    </row>
  </sheetData>
  <mergeCells count="1">
    <mergeCell ref="A1:B1"/>
  </mergeCells>
  <pageMargins left="0.90555600000000003" right="0.51180599999999998" top="0.74791700000000005" bottom="0.74791700000000005" header="0.315278" footer="0.315278"/>
  <pageSetup paperSize="9" fitToWidth="0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3" sqref="A13"/>
    </sheetView>
  </sheetViews>
  <sheetFormatPr defaultRowHeight="12.75" x14ac:dyDescent="0.2"/>
  <cols>
    <col min="1" max="1" width="70.42578125" customWidth="1"/>
    <col min="2" max="3" width="9.140625" customWidth="1"/>
    <col min="4" max="4" width="12.85546875" customWidth="1"/>
    <col min="5" max="5" width="9.140625" customWidth="1"/>
  </cols>
  <sheetData>
    <row r="1" spans="1:1" ht="18" x14ac:dyDescent="0.25">
      <c r="A1" s="182" t="s">
        <v>229</v>
      </c>
    </row>
    <row r="2" spans="1:1" x14ac:dyDescent="0.2">
      <c r="A2" s="179"/>
    </row>
    <row r="3" spans="1:1" x14ac:dyDescent="0.2">
      <c r="A3" s="179" t="s">
        <v>230</v>
      </c>
    </row>
    <row r="4" spans="1:1" x14ac:dyDescent="0.2">
      <c r="A4" s="179"/>
    </row>
    <row r="5" spans="1:1" x14ac:dyDescent="0.2">
      <c r="A5" s="179"/>
    </row>
    <row r="6" spans="1:1" x14ac:dyDescent="0.2">
      <c r="A6" s="179"/>
    </row>
    <row r="7" spans="1:1" x14ac:dyDescent="0.2">
      <c r="A7" s="179"/>
    </row>
    <row r="8" spans="1:1" x14ac:dyDescent="0.2">
      <c r="A8" s="179"/>
    </row>
    <row r="9" spans="1:1" x14ac:dyDescent="0.2">
      <c r="A9" s="179"/>
    </row>
    <row r="10" spans="1:1" x14ac:dyDescent="0.2">
      <c r="A10" s="179"/>
    </row>
    <row r="11" spans="1:1" x14ac:dyDescent="0.2">
      <c r="A11" s="179"/>
    </row>
    <row r="12" spans="1:1" ht="20.25" x14ac:dyDescent="0.35">
      <c r="A12" s="180" t="s">
        <v>231</v>
      </c>
    </row>
    <row r="13" spans="1:1" ht="15" x14ac:dyDescent="0.2">
      <c r="A13" s="180" t="s">
        <v>232</v>
      </c>
    </row>
    <row r="14" spans="1:1" ht="15" x14ac:dyDescent="0.2">
      <c r="A14" s="180" t="s">
        <v>233</v>
      </c>
    </row>
    <row r="15" spans="1:1" ht="20.25" x14ac:dyDescent="0.35">
      <c r="A15" s="180" t="s">
        <v>234</v>
      </c>
    </row>
    <row r="16" spans="1:1" ht="20.25" x14ac:dyDescent="0.35">
      <c r="A16" s="180" t="s">
        <v>235</v>
      </c>
    </row>
    <row r="17" spans="1:1" ht="15" x14ac:dyDescent="0.2">
      <c r="A17" s="181" t="s">
        <v>236</v>
      </c>
    </row>
  </sheetData>
  <pageMargins left="0.90555600000000003" right="0.51180599999999998" top="0.74791700000000005" bottom="0.74791700000000005" header="0.315278" footer="0.315278"/>
  <pageSetup paperSize="9" fitToWidth="0"/>
  <drawing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6" sqref="A6:XFD7"/>
    </sheetView>
  </sheetViews>
  <sheetFormatPr defaultRowHeight="12.75" x14ac:dyDescent="0.2"/>
  <cols>
    <col min="1" max="1" width="58.28515625" customWidth="1"/>
    <col min="2" max="2" width="11.140625" customWidth="1"/>
    <col min="3" max="3" width="11.28515625" customWidth="1"/>
    <col min="4" max="4" width="9.140625" customWidth="1"/>
  </cols>
  <sheetData>
    <row r="1" spans="1:3" x14ac:dyDescent="0.2">
      <c r="A1" s="8" t="s">
        <v>0</v>
      </c>
    </row>
    <row r="2" spans="1:3" x14ac:dyDescent="0.2">
      <c r="A2" s="5" t="s">
        <v>237</v>
      </c>
    </row>
    <row r="3" spans="1:3" x14ac:dyDescent="0.2">
      <c r="A3" s="5" t="s">
        <v>238</v>
      </c>
    </row>
    <row r="4" spans="1:3" x14ac:dyDescent="0.2">
      <c r="A4" s="4" t="s">
        <v>1</v>
      </c>
    </row>
    <row r="5" spans="1:3" x14ac:dyDescent="0.2">
      <c r="A5" s="4"/>
    </row>
    <row r="7" spans="1:3" ht="18" x14ac:dyDescent="0.25">
      <c r="A7" s="349" t="s">
        <v>239</v>
      </c>
      <c r="B7" s="350"/>
      <c r="C7" s="351"/>
    </row>
    <row r="8" spans="1:3" ht="18" x14ac:dyDescent="0.25">
      <c r="A8" s="215"/>
      <c r="B8" s="214"/>
      <c r="C8" s="216"/>
    </row>
    <row r="9" spans="1:3" s="76" customFormat="1" ht="15" x14ac:dyDescent="0.25">
      <c r="A9" s="110" t="s">
        <v>240</v>
      </c>
      <c r="B9" s="205" t="s">
        <v>241</v>
      </c>
      <c r="C9" s="112" t="s">
        <v>123</v>
      </c>
    </row>
    <row r="10" spans="1:3" ht="14.25" x14ac:dyDescent="0.2">
      <c r="A10" s="143" t="s">
        <v>242</v>
      </c>
      <c r="B10" s="206" t="s">
        <v>243</v>
      </c>
      <c r="C10" s="144">
        <v>6759</v>
      </c>
    </row>
    <row r="11" spans="1:3" ht="14.25" x14ac:dyDescent="0.2">
      <c r="A11" s="143" t="s">
        <v>244</v>
      </c>
      <c r="B11" s="206" t="s">
        <v>245</v>
      </c>
      <c r="C11" s="207">
        <v>0.39500000000000002</v>
      </c>
    </row>
    <row r="12" spans="1:3" ht="14.25" x14ac:dyDescent="0.2">
      <c r="A12" s="143" t="s">
        <v>246</v>
      </c>
      <c r="B12" s="206" t="s">
        <v>247</v>
      </c>
      <c r="C12" s="208">
        <f>C10*C11/1000</f>
        <v>2.6698050000000002</v>
      </c>
    </row>
    <row r="13" spans="1:3" ht="14.25" x14ac:dyDescent="0.2">
      <c r="A13" s="143" t="s">
        <v>248</v>
      </c>
      <c r="B13" s="206" t="s">
        <v>249</v>
      </c>
      <c r="C13" s="209">
        <v>81.28</v>
      </c>
    </row>
    <row r="14" spans="1:3" ht="14.25" x14ac:dyDescent="0.2">
      <c r="A14" s="143" t="s">
        <v>250</v>
      </c>
      <c r="B14" s="206" t="s">
        <v>43</v>
      </c>
      <c r="C14" s="212">
        <v>3</v>
      </c>
    </row>
    <row r="15" spans="1:3" ht="14.25" x14ac:dyDescent="0.2">
      <c r="A15" s="143" t="s">
        <v>251</v>
      </c>
      <c r="B15" s="206" t="s">
        <v>247</v>
      </c>
      <c r="C15" s="208">
        <f>IFERROR(C12*7/C14,0)</f>
        <v>6.2295450000000008</v>
      </c>
    </row>
    <row r="16" spans="1:3" ht="14.25" x14ac:dyDescent="0.2">
      <c r="A16" s="143" t="s">
        <v>252</v>
      </c>
      <c r="B16" s="206" t="s">
        <v>253</v>
      </c>
      <c r="C16" s="160">
        <v>500</v>
      </c>
    </row>
    <row r="17" spans="1:3" ht="14.25" x14ac:dyDescent="0.2">
      <c r="A17" s="143" t="s">
        <v>254</v>
      </c>
      <c r="B17" s="206"/>
      <c r="C17" s="144">
        <v>2</v>
      </c>
    </row>
    <row r="18" spans="1:3" ht="14.25" x14ac:dyDescent="0.2">
      <c r="A18" s="143" t="s">
        <v>255</v>
      </c>
      <c r="B18" s="206" t="s">
        <v>256</v>
      </c>
      <c r="C18" s="144">
        <v>15</v>
      </c>
    </row>
    <row r="19" spans="1:3" ht="14.25" x14ac:dyDescent="0.2">
      <c r="A19" s="143" t="s">
        <v>257</v>
      </c>
      <c r="B19" s="206" t="s">
        <v>249</v>
      </c>
      <c r="C19" s="160">
        <f>IF(AND(C18&gt;=15,C17=1),5.8,C18/2)</f>
        <v>7.5</v>
      </c>
    </row>
    <row r="20" spans="1:3" ht="14.25" x14ac:dyDescent="0.2">
      <c r="A20" s="143" t="s">
        <v>258</v>
      </c>
      <c r="B20" s="206"/>
      <c r="C20" s="208">
        <f>IFERROR(C15/C19,0)</f>
        <v>0.83060600000000007</v>
      </c>
    </row>
    <row r="21" spans="1:3" ht="14.25" x14ac:dyDescent="0.2">
      <c r="A21" s="143" t="s">
        <v>259</v>
      </c>
      <c r="B21" s="206"/>
      <c r="C21" s="217">
        <v>1</v>
      </c>
    </row>
    <row r="22" spans="1:3" ht="14.25" x14ac:dyDescent="0.2">
      <c r="A22" s="210" t="s">
        <v>260</v>
      </c>
      <c r="B22" s="211"/>
      <c r="C22" s="213">
        <f>IFERROR(C20/C21,0)</f>
        <v>0.83060600000000007</v>
      </c>
    </row>
  </sheetData>
  <mergeCells count="1">
    <mergeCell ref="A7:C7"/>
  </mergeCells>
  <conditionalFormatting sqref="C19">
    <cfRule type="expression" dxfId="0" priority="1">
      <formula>"SE(E(C20&gt;=15;C19=1))"</formula>
    </cfRule>
  </conditionalFormatting>
  <pageMargins left="0.51180599999999998" right="0.51180599999999998" top="0.78749999999999998" bottom="0.78749999999999998" header="0.315278" footer="0.315278"/>
  <pageSetup paperSize="9" fitToWidth="0"/>
  <legacyDrawing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Usuário do Windows</cp:lastModifiedBy>
  <cp:revision>0</cp:revision>
  <cp:lastPrinted>2021-07-29T18:06:44Z</cp:lastPrinted>
  <dcterms:created xsi:type="dcterms:W3CDTF">2000-12-13T10:02:50Z</dcterms:created>
  <dcterms:modified xsi:type="dcterms:W3CDTF">2021-08-09T19:32:25Z</dcterms:modified>
</cp:coreProperties>
</file>